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40" yWindow="120" windowWidth="18795" windowHeight="11760" tabRatio="756" firstSheet="13" activeTab="13"/>
  </bookViews>
  <sheets>
    <sheet name="Q.ilex_Q.suber y Larix" sheetId="30" state="hidden" r:id="rId1"/>
    <sheet name="Datos" sheetId="16" state="hidden" r:id="rId2"/>
    <sheet name="Calculadora Abs" sheetId="13" state="hidden" r:id="rId3"/>
    <sheet name="Total especies y métodos" sheetId="1" state="hidden" r:id="rId4"/>
    <sheet name="201 IFN3_D-t IFN1" sheetId="10" state="hidden" r:id="rId5"/>
    <sheet name="Tabla 7" sheetId="5" state="hidden" r:id="rId6"/>
    <sheet name="Montero 2014" sheetId="7" state="hidden" r:id="rId7"/>
    <sheet name="Comparativa Montero - IPCC" sheetId="9" state="hidden" r:id="rId8"/>
    <sheet name="Alt_diám tablas producc" sheetId="11" state="hidden" r:id="rId9"/>
    <sheet name="Descartes" sheetId="2" state="hidden" r:id="rId10"/>
    <sheet name="Asimilaciones" sheetId="14" state="hidden" r:id="rId11"/>
    <sheet name="Fuentes" sheetId="3" state="hidden" r:id="rId12"/>
    <sheet name="Hoja2" sheetId="22" state="hidden" r:id="rId13"/>
    <sheet name="Contenido e instrucciones" sheetId="29" r:id="rId14"/>
    <sheet name="1. Datos generales proyecto" sheetId="23" r:id="rId15"/>
    <sheet name="2. Estimación absorción total" sheetId="26" r:id="rId16"/>
    <sheet name="3. Absorciones_Disponibles" sheetId="31" r:id="rId17"/>
    <sheet name="4. Factores de absorción" sheetId="21" r:id="rId18"/>
    <sheet name="Revisiones calculadora " sheetId="28" r:id="rId19"/>
    <sheet name="Selección final metodología" sheetId="17" state="hidden" r:id="rId20"/>
    <sheet name="Todas metodologías" sheetId="15" state="hidden" r:id="rId21"/>
  </sheets>
  <definedNames>
    <definedName name="_xlnm._FilterDatabase" localSheetId="14" hidden="1">'1. Datos generales proyecto'!$W$10:$AC$11</definedName>
    <definedName name="_xlnm._FilterDatabase" localSheetId="4" hidden="1">'201 IFN3_D-t IFN1'!$A$1:$G$286</definedName>
    <definedName name="_xlnm._FilterDatabase" localSheetId="17" hidden="1">'4. Factores de absorción'!$C$93:$D$175</definedName>
    <definedName name="_xlnm._FilterDatabase" localSheetId="8" hidden="1">'Alt_diám tablas producc'!$A$1:$E$48</definedName>
    <definedName name="_xlnm._FilterDatabase" localSheetId="10" hidden="1">Asimilaciones!$D$3:$E$3</definedName>
    <definedName name="_xlnm._FilterDatabase" localSheetId="7" hidden="1">'Comparativa Montero - IPCC'!$A$2:$R$64</definedName>
    <definedName name="_xlnm._FilterDatabase" localSheetId="1" hidden="1">Datos!$A$3:$L$124</definedName>
    <definedName name="_xlnm._FilterDatabase" localSheetId="19" hidden="1">'Selección final metodología'!$A$3:$G$85</definedName>
    <definedName name="_xlnm._FilterDatabase" localSheetId="20" hidden="1">'Todas metodologías'!$A$3:$Z$152</definedName>
    <definedName name="_xlnm._FilterDatabase" localSheetId="3" hidden="1">'Total especies y métodos'!$A$1:$N$125</definedName>
  </definedNames>
  <calcPr calcId="145621"/>
</workbook>
</file>

<file path=xl/calcChain.xml><?xml version="1.0" encoding="utf-8"?>
<calcChain xmlns="http://schemas.openxmlformats.org/spreadsheetml/2006/main">
  <c r="D8" i="21" l="1"/>
  <c r="E8" i="21"/>
  <c r="F8" i="21"/>
  <c r="G8" i="21"/>
  <c r="H8" i="21"/>
  <c r="D9" i="21"/>
  <c r="E9" i="21"/>
  <c r="F9" i="21"/>
  <c r="G9" i="21"/>
  <c r="H9" i="21"/>
  <c r="D10" i="21"/>
  <c r="E10" i="21"/>
  <c r="F10" i="21"/>
  <c r="G10" i="21"/>
  <c r="H10" i="21"/>
  <c r="D11" i="21"/>
  <c r="E11" i="21"/>
  <c r="F11" i="21"/>
  <c r="G11" i="21"/>
  <c r="H11" i="21"/>
  <c r="D12" i="21"/>
  <c r="E12" i="21"/>
  <c r="F12" i="21"/>
  <c r="G12" i="21"/>
  <c r="H12" i="21"/>
  <c r="D13" i="21"/>
  <c r="E13" i="21"/>
  <c r="F13" i="21"/>
  <c r="G13" i="21"/>
  <c r="H13" i="21"/>
  <c r="D14" i="21"/>
  <c r="E14" i="21"/>
  <c r="F14" i="21"/>
  <c r="G14" i="21"/>
  <c r="H14" i="21"/>
  <c r="D15" i="21"/>
  <c r="E15" i="21"/>
  <c r="F15" i="21"/>
  <c r="G15" i="21"/>
  <c r="H15" i="21"/>
  <c r="D16" i="21"/>
  <c r="E16" i="21"/>
  <c r="F16" i="21"/>
  <c r="G16" i="21"/>
  <c r="H16" i="21"/>
  <c r="D17" i="21"/>
  <c r="E17" i="21"/>
  <c r="F17" i="21"/>
  <c r="G17" i="21"/>
  <c r="H17" i="21"/>
  <c r="D18" i="21"/>
  <c r="E18" i="21"/>
  <c r="F18" i="21"/>
  <c r="G18" i="21"/>
  <c r="H18" i="21"/>
  <c r="D19" i="21"/>
  <c r="E19" i="21"/>
  <c r="F19" i="21"/>
  <c r="G19" i="21"/>
  <c r="H19" i="21"/>
  <c r="D20" i="21"/>
  <c r="E20" i="21"/>
  <c r="F20" i="21"/>
  <c r="G20" i="21"/>
  <c r="H20" i="21"/>
  <c r="D21" i="21"/>
  <c r="E21" i="21"/>
  <c r="F21" i="21"/>
  <c r="G21" i="21"/>
  <c r="H21" i="21"/>
  <c r="D22" i="21"/>
  <c r="E22" i="21"/>
  <c r="F22" i="21"/>
  <c r="G22" i="21"/>
  <c r="H22" i="21"/>
  <c r="D23" i="21"/>
  <c r="E23" i="21"/>
  <c r="F23" i="21"/>
  <c r="G23" i="21"/>
  <c r="H23" i="21"/>
  <c r="D24" i="21"/>
  <c r="E24" i="21"/>
  <c r="F24" i="21"/>
  <c r="G24" i="21"/>
  <c r="H24" i="21"/>
  <c r="D25" i="21"/>
  <c r="E25" i="21"/>
  <c r="F25" i="21"/>
  <c r="G25" i="21"/>
  <c r="H25" i="21"/>
  <c r="D26" i="21"/>
  <c r="E26" i="21"/>
  <c r="F26" i="21"/>
  <c r="G26" i="21"/>
  <c r="H26" i="21"/>
  <c r="D27" i="21"/>
  <c r="E27" i="21"/>
  <c r="F27" i="21"/>
  <c r="G27" i="21"/>
  <c r="H27" i="21"/>
  <c r="D28" i="21"/>
  <c r="E28" i="21"/>
  <c r="F28" i="21"/>
  <c r="G28" i="21"/>
  <c r="H28" i="21"/>
  <c r="D29" i="21"/>
  <c r="E29" i="21"/>
  <c r="F29" i="21"/>
  <c r="G29" i="21"/>
  <c r="H29" i="21"/>
  <c r="D30" i="21"/>
  <c r="E30" i="21"/>
  <c r="F30" i="21"/>
  <c r="G30" i="21"/>
  <c r="H30" i="21"/>
  <c r="D31" i="21"/>
  <c r="E31" i="21"/>
  <c r="F31" i="21"/>
  <c r="G31" i="21"/>
  <c r="H31" i="21"/>
  <c r="D32" i="21"/>
  <c r="E32" i="21"/>
  <c r="F32" i="21"/>
  <c r="G32" i="21"/>
  <c r="H32" i="21"/>
  <c r="D33" i="21"/>
  <c r="E33" i="21"/>
  <c r="F33" i="21"/>
  <c r="G33" i="21"/>
  <c r="H33" i="21"/>
  <c r="D34" i="21"/>
  <c r="E34" i="21"/>
  <c r="F34" i="21"/>
  <c r="G34" i="21"/>
  <c r="H34" i="21"/>
  <c r="D35" i="21"/>
  <c r="E35" i="21"/>
  <c r="F35" i="21"/>
  <c r="G35" i="21"/>
  <c r="H35" i="21"/>
  <c r="D36" i="21"/>
  <c r="E36" i="21"/>
  <c r="F36" i="21"/>
  <c r="G36" i="21"/>
  <c r="H36" i="21"/>
  <c r="D37" i="21"/>
  <c r="E37" i="21"/>
  <c r="F37" i="21"/>
  <c r="G37" i="21"/>
  <c r="H37" i="21"/>
  <c r="D38" i="21"/>
  <c r="E38" i="21"/>
  <c r="F38" i="21"/>
  <c r="G38" i="21"/>
  <c r="H38" i="21"/>
  <c r="D39" i="21"/>
  <c r="E39" i="21"/>
  <c r="F39" i="21"/>
  <c r="G39" i="21"/>
  <c r="H39" i="21"/>
  <c r="D40" i="21"/>
  <c r="E40" i="21"/>
  <c r="F40" i="21"/>
  <c r="G40" i="21"/>
  <c r="H40" i="21"/>
  <c r="D41" i="21"/>
  <c r="E41" i="21"/>
  <c r="F41" i="21"/>
  <c r="G41" i="21"/>
  <c r="H41" i="21"/>
  <c r="D42" i="21"/>
  <c r="E42" i="21"/>
  <c r="F42" i="21"/>
  <c r="G42" i="21"/>
  <c r="H42" i="21"/>
  <c r="D43" i="21"/>
  <c r="E43" i="21"/>
  <c r="F43" i="21"/>
  <c r="G43" i="21"/>
  <c r="H43" i="21"/>
  <c r="D44" i="21"/>
  <c r="E44" i="21"/>
  <c r="F44" i="21"/>
  <c r="G44" i="21"/>
  <c r="H44" i="21"/>
  <c r="D45" i="21"/>
  <c r="E45" i="21"/>
  <c r="F45" i="21"/>
  <c r="G45" i="21"/>
  <c r="H45" i="21"/>
  <c r="D46" i="21"/>
  <c r="E46" i="21"/>
  <c r="F46" i="21"/>
  <c r="G46" i="21"/>
  <c r="H46" i="21"/>
  <c r="D47" i="21"/>
  <c r="E47" i="21"/>
  <c r="F47" i="21"/>
  <c r="G47" i="21"/>
  <c r="H47" i="21"/>
  <c r="D48" i="21"/>
  <c r="E48" i="21"/>
  <c r="F48" i="21"/>
  <c r="G48" i="21"/>
  <c r="H48" i="21"/>
  <c r="D49" i="21"/>
  <c r="E49" i="21"/>
  <c r="F49" i="21"/>
  <c r="G49" i="21"/>
  <c r="H49" i="21"/>
  <c r="D50" i="21"/>
  <c r="E50" i="21"/>
  <c r="F50" i="21"/>
  <c r="G50" i="21"/>
  <c r="H50" i="21"/>
  <c r="D51" i="21"/>
  <c r="E51" i="21"/>
  <c r="F51" i="21"/>
  <c r="G51" i="21"/>
  <c r="H51" i="21"/>
  <c r="D52" i="21"/>
  <c r="E52" i="21"/>
  <c r="F52" i="21"/>
  <c r="G52" i="21"/>
  <c r="H52" i="21"/>
  <c r="D53" i="21"/>
  <c r="E53" i="21"/>
  <c r="F53" i="21"/>
  <c r="G53" i="21"/>
  <c r="H53" i="21"/>
  <c r="D54" i="21"/>
  <c r="E54" i="21"/>
  <c r="F54" i="21"/>
  <c r="G54" i="21"/>
  <c r="H54" i="21"/>
  <c r="D55" i="21"/>
  <c r="E55" i="21"/>
  <c r="F55" i="21"/>
  <c r="G55" i="21"/>
  <c r="H55" i="21"/>
  <c r="D56" i="21"/>
  <c r="E56" i="21"/>
  <c r="F56" i="21"/>
  <c r="G56" i="21"/>
  <c r="H56" i="21"/>
  <c r="D57" i="21"/>
  <c r="E57" i="21"/>
  <c r="F57" i="21"/>
  <c r="G57" i="21"/>
  <c r="H57" i="21"/>
  <c r="D58" i="21"/>
  <c r="E58" i="21"/>
  <c r="F58" i="21"/>
  <c r="G58" i="21"/>
  <c r="H58" i="21"/>
  <c r="D59" i="21"/>
  <c r="E59" i="21"/>
  <c r="F59" i="21"/>
  <c r="G59" i="21"/>
  <c r="H59" i="21"/>
  <c r="D60" i="21"/>
  <c r="E60" i="21"/>
  <c r="F60" i="21"/>
  <c r="G60" i="21"/>
  <c r="H60" i="21"/>
  <c r="D61" i="21"/>
  <c r="E61" i="21"/>
  <c r="F61" i="21"/>
  <c r="G61" i="21"/>
  <c r="H61" i="21"/>
  <c r="D62" i="21"/>
  <c r="E62" i="21"/>
  <c r="F62" i="21"/>
  <c r="G62" i="21"/>
  <c r="H62" i="21"/>
  <c r="D63" i="21"/>
  <c r="E63" i="21"/>
  <c r="F63" i="21"/>
  <c r="G63" i="21"/>
  <c r="H63" i="21"/>
  <c r="D64" i="21"/>
  <c r="E64" i="21"/>
  <c r="F64" i="21"/>
  <c r="G64" i="21"/>
  <c r="H64" i="21"/>
  <c r="D65" i="21"/>
  <c r="E65" i="21"/>
  <c r="F65" i="21"/>
  <c r="G65" i="21"/>
  <c r="H65" i="21"/>
  <c r="D66" i="21"/>
  <c r="E66" i="21"/>
  <c r="F66" i="21"/>
  <c r="G66" i="21"/>
  <c r="H66" i="21"/>
  <c r="D67" i="21"/>
  <c r="E67" i="21"/>
  <c r="F67" i="21"/>
  <c r="G67" i="21"/>
  <c r="H67" i="21"/>
  <c r="D68" i="21"/>
  <c r="E68" i="21"/>
  <c r="F68" i="21"/>
  <c r="G68" i="21"/>
  <c r="H68" i="21"/>
  <c r="D69" i="21"/>
  <c r="E69" i="21"/>
  <c r="F69" i="21"/>
  <c r="G69" i="21"/>
  <c r="H69" i="21"/>
  <c r="D70" i="21"/>
  <c r="E70" i="21"/>
  <c r="F70" i="21"/>
  <c r="G70" i="21"/>
  <c r="H70" i="21"/>
  <c r="D71" i="21"/>
  <c r="E71" i="21"/>
  <c r="F71" i="21"/>
  <c r="G71" i="21"/>
  <c r="H71" i="21"/>
  <c r="D72" i="21"/>
  <c r="E72" i="21"/>
  <c r="F72" i="21"/>
  <c r="G72" i="21"/>
  <c r="H72" i="21"/>
  <c r="D73" i="21"/>
  <c r="E73" i="21"/>
  <c r="F73" i="21"/>
  <c r="G73" i="21"/>
  <c r="H73" i="21"/>
  <c r="D74" i="21"/>
  <c r="E74" i="21"/>
  <c r="F74" i="21"/>
  <c r="G74" i="21"/>
  <c r="H74" i="21"/>
  <c r="D75" i="21"/>
  <c r="E75" i="21"/>
  <c r="F75" i="21"/>
  <c r="G75" i="21"/>
  <c r="H75" i="21"/>
  <c r="D76" i="21"/>
  <c r="E76" i="21"/>
  <c r="F76" i="21"/>
  <c r="G76" i="21"/>
  <c r="H76" i="21"/>
  <c r="D77" i="21"/>
  <c r="E77" i="21"/>
  <c r="F77" i="21"/>
  <c r="G77" i="21"/>
  <c r="H77" i="21"/>
  <c r="D78" i="21"/>
  <c r="E78" i="21"/>
  <c r="F78" i="21"/>
  <c r="G78" i="21"/>
  <c r="H78" i="21"/>
  <c r="D79" i="21"/>
  <c r="E79" i="21"/>
  <c r="F79" i="21"/>
  <c r="G79" i="21"/>
  <c r="H79" i="21"/>
  <c r="D80" i="21"/>
  <c r="E80" i="21"/>
  <c r="F80" i="21"/>
  <c r="G80" i="21"/>
  <c r="H80" i="21"/>
  <c r="D81" i="21"/>
  <c r="E81" i="21"/>
  <c r="F81" i="21"/>
  <c r="G81" i="21"/>
  <c r="H81" i="21"/>
  <c r="D82" i="21"/>
  <c r="E82" i="21"/>
  <c r="F82" i="21"/>
  <c r="G82" i="21"/>
  <c r="H82" i="21"/>
  <c r="D83" i="21"/>
  <c r="E83" i="21"/>
  <c r="F83" i="21"/>
  <c r="G83" i="21"/>
  <c r="H83" i="21"/>
  <c r="D84" i="21"/>
  <c r="E84" i="21"/>
  <c r="F84" i="21"/>
  <c r="G84" i="21"/>
  <c r="H84" i="21"/>
  <c r="D85" i="21"/>
  <c r="E85" i="21"/>
  <c r="F85" i="21"/>
  <c r="G85" i="21"/>
  <c r="H85" i="21"/>
  <c r="D86" i="21"/>
  <c r="E86" i="21"/>
  <c r="F86" i="21"/>
  <c r="G86" i="21"/>
  <c r="H86" i="21"/>
  <c r="D87" i="21"/>
  <c r="E87" i="21"/>
  <c r="F87" i="21"/>
  <c r="G87" i="21"/>
  <c r="H87" i="21"/>
  <c r="D7" i="21"/>
  <c r="E7" i="21"/>
  <c r="F7" i="21"/>
  <c r="G7" i="21"/>
  <c r="H7" i="21"/>
  <c r="H6" i="21"/>
  <c r="E6" i="21"/>
  <c r="F6" i="21"/>
  <c r="G6" i="21"/>
  <c r="D6" i="21"/>
  <c r="F7" i="17" l="1"/>
  <c r="E7" i="17"/>
  <c r="D7" i="17"/>
  <c r="C7" i="17"/>
  <c r="B7" i="17"/>
  <c r="AF44" i="26"/>
  <c r="Y6" i="26"/>
  <c r="Z6" i="26"/>
  <c r="AA6" i="26"/>
  <c r="AB6" i="26"/>
  <c r="AC6" i="26"/>
  <c r="AD6" i="26"/>
  <c r="Y7" i="26"/>
  <c r="Z7" i="26"/>
  <c r="AA7" i="26"/>
  <c r="AB7" i="26"/>
  <c r="AC7" i="26"/>
  <c r="AD7" i="26"/>
  <c r="Y8" i="26"/>
  <c r="Z8" i="26"/>
  <c r="AA8" i="26"/>
  <c r="AB8" i="26"/>
  <c r="AC8" i="26"/>
  <c r="AD8" i="26"/>
  <c r="Y9" i="26"/>
  <c r="Z9" i="26"/>
  <c r="AA9" i="26"/>
  <c r="AB9" i="26"/>
  <c r="AC9" i="26"/>
  <c r="AD9" i="26"/>
  <c r="Y10" i="26"/>
  <c r="Z10" i="26"/>
  <c r="AA10" i="26"/>
  <c r="AB10" i="26"/>
  <c r="AC10" i="26"/>
  <c r="AD10" i="26"/>
  <c r="Y11" i="26"/>
  <c r="Z11" i="26"/>
  <c r="AA11" i="26"/>
  <c r="AB11" i="26"/>
  <c r="AC11" i="26"/>
  <c r="AD11" i="26"/>
  <c r="Y12" i="26"/>
  <c r="Z12" i="26"/>
  <c r="AA12" i="26"/>
  <c r="AB12" i="26"/>
  <c r="AC12" i="26"/>
  <c r="AD12" i="26"/>
  <c r="Y13" i="26"/>
  <c r="Z13" i="26"/>
  <c r="AA13" i="26"/>
  <c r="AB13" i="26"/>
  <c r="AC13" i="26"/>
  <c r="AD13" i="26"/>
  <c r="Y14" i="26"/>
  <c r="Z14" i="26"/>
  <c r="AA14" i="26"/>
  <c r="AB14" i="26"/>
  <c r="AC14" i="26"/>
  <c r="AD14" i="26"/>
  <c r="Y15" i="26"/>
  <c r="Z15" i="26"/>
  <c r="AA15" i="26"/>
  <c r="AB15" i="26"/>
  <c r="AC15" i="26"/>
  <c r="AD15" i="26"/>
  <c r="Y16" i="26"/>
  <c r="Z16" i="26"/>
  <c r="AA16" i="26"/>
  <c r="AB16" i="26"/>
  <c r="AC16" i="26"/>
  <c r="AD16" i="26"/>
  <c r="Y17" i="26"/>
  <c r="Z17" i="26"/>
  <c r="AA17" i="26"/>
  <c r="AB17" i="26"/>
  <c r="AC17" i="26"/>
  <c r="AD17" i="26"/>
  <c r="Y18" i="26"/>
  <c r="Z18" i="26"/>
  <c r="AA18" i="26"/>
  <c r="AB18" i="26"/>
  <c r="AC18" i="26"/>
  <c r="AD18" i="26"/>
  <c r="Y19" i="26"/>
  <c r="Z19" i="26"/>
  <c r="AA19" i="26"/>
  <c r="AB19" i="26"/>
  <c r="AC19" i="26"/>
  <c r="AD19" i="26"/>
  <c r="Y20" i="26"/>
  <c r="Z20" i="26"/>
  <c r="AA20" i="26"/>
  <c r="AB20" i="26"/>
  <c r="AC20" i="26"/>
  <c r="AD20" i="26"/>
  <c r="Y21" i="26"/>
  <c r="Z21" i="26"/>
  <c r="AA21" i="26"/>
  <c r="AB21" i="26"/>
  <c r="AC21" i="26"/>
  <c r="AD21" i="26"/>
  <c r="Y22" i="26"/>
  <c r="Z22" i="26"/>
  <c r="AA22" i="26"/>
  <c r="AB22" i="26"/>
  <c r="AC22" i="26"/>
  <c r="AD22" i="26"/>
  <c r="Y23" i="26"/>
  <c r="Z23" i="26"/>
  <c r="AA23" i="26"/>
  <c r="AB23" i="26"/>
  <c r="AC23" i="26"/>
  <c r="AD23" i="26"/>
  <c r="Y24" i="26"/>
  <c r="Z24" i="26"/>
  <c r="AA24" i="26"/>
  <c r="AB24" i="26"/>
  <c r="AC24" i="26"/>
  <c r="AD24" i="26"/>
  <c r="Y25" i="26"/>
  <c r="Z25" i="26"/>
  <c r="AA25" i="26"/>
  <c r="AB25" i="26"/>
  <c r="AC25" i="26"/>
  <c r="AD25" i="26"/>
  <c r="Y26" i="26"/>
  <c r="Z26" i="26"/>
  <c r="AA26" i="26"/>
  <c r="AB26" i="26"/>
  <c r="AC26" i="26"/>
  <c r="AD26" i="26"/>
  <c r="Y27" i="26"/>
  <c r="Z27" i="26"/>
  <c r="AA27" i="26"/>
  <c r="AB27" i="26"/>
  <c r="AC27" i="26"/>
  <c r="AD27" i="26"/>
  <c r="Y28" i="26"/>
  <c r="Z28" i="26"/>
  <c r="AA28" i="26"/>
  <c r="AB28" i="26"/>
  <c r="AC28" i="26"/>
  <c r="AD28" i="26"/>
  <c r="Y29" i="26"/>
  <c r="Z29" i="26"/>
  <c r="AA29" i="26"/>
  <c r="AB29" i="26"/>
  <c r="AC29" i="26"/>
  <c r="AD29" i="26"/>
  <c r="Y30" i="26"/>
  <c r="Z30" i="26"/>
  <c r="AA30" i="26"/>
  <c r="AB30" i="26"/>
  <c r="AC30" i="26"/>
  <c r="AD30" i="26"/>
  <c r="Y31" i="26"/>
  <c r="Z31" i="26"/>
  <c r="AA31" i="26"/>
  <c r="AB31" i="26"/>
  <c r="AC31" i="26"/>
  <c r="AD31" i="26"/>
  <c r="Y32" i="26"/>
  <c r="Z32" i="26"/>
  <c r="AA32" i="26"/>
  <c r="AB32" i="26"/>
  <c r="AC32" i="26"/>
  <c r="AD32" i="26"/>
  <c r="Y33" i="26"/>
  <c r="Z33" i="26"/>
  <c r="AA33" i="26"/>
  <c r="AB33" i="26"/>
  <c r="AC33" i="26"/>
  <c r="AD33" i="26"/>
  <c r="Y34" i="26"/>
  <c r="Z34" i="26"/>
  <c r="AA34" i="26"/>
  <c r="AB34" i="26"/>
  <c r="AC34" i="26"/>
  <c r="AD34" i="26"/>
  <c r="Y35" i="26"/>
  <c r="Z35" i="26"/>
  <c r="AA35" i="26"/>
  <c r="AB35" i="26"/>
  <c r="AC35" i="26"/>
  <c r="AD35" i="26"/>
  <c r="Y36" i="26"/>
  <c r="Z36" i="26"/>
  <c r="AA36" i="26"/>
  <c r="AB36" i="26"/>
  <c r="AC36" i="26"/>
  <c r="AD36" i="26"/>
  <c r="Y37" i="26"/>
  <c r="Z37" i="26"/>
  <c r="AA37" i="26"/>
  <c r="AB37" i="26"/>
  <c r="AC37" i="26"/>
  <c r="AD37" i="26"/>
  <c r="Y38" i="26"/>
  <c r="Z38" i="26"/>
  <c r="AA38" i="26"/>
  <c r="AB38" i="26"/>
  <c r="AC38" i="26"/>
  <c r="AD38" i="26"/>
  <c r="Y39" i="26"/>
  <c r="Z39" i="26"/>
  <c r="AA39" i="26"/>
  <c r="AB39" i="26"/>
  <c r="AC39" i="26"/>
  <c r="AD39" i="26"/>
  <c r="Y40" i="26"/>
  <c r="Z40" i="26"/>
  <c r="AA40" i="26"/>
  <c r="AB40" i="26"/>
  <c r="AC40" i="26"/>
  <c r="AD40" i="26"/>
  <c r="Y41" i="26"/>
  <c r="Z41" i="26"/>
  <c r="AA41" i="26"/>
  <c r="AB41" i="26"/>
  <c r="AC41" i="26"/>
  <c r="AD41" i="26"/>
  <c r="Y42" i="26"/>
  <c r="Z42" i="26"/>
  <c r="AA42" i="26"/>
  <c r="AB42" i="26"/>
  <c r="AC42" i="26"/>
  <c r="AD42" i="26"/>
  <c r="Y43" i="26"/>
  <c r="Z43" i="26"/>
  <c r="AA43" i="26"/>
  <c r="AB43" i="26"/>
  <c r="AC43" i="26"/>
  <c r="AD43" i="26"/>
  <c r="Y44" i="26"/>
  <c r="Z44" i="26"/>
  <c r="AA44" i="26"/>
  <c r="AB44" i="26"/>
  <c r="AC44" i="26"/>
  <c r="AD44" i="26"/>
  <c r="Y45" i="26"/>
  <c r="Z45" i="26"/>
  <c r="AA45" i="26"/>
  <c r="AB45" i="26"/>
  <c r="AC45" i="26"/>
  <c r="AD45" i="26"/>
  <c r="Y46" i="26"/>
  <c r="Z46" i="26"/>
  <c r="AA46" i="26"/>
  <c r="AB46" i="26"/>
  <c r="AC46" i="26"/>
  <c r="AD46" i="26"/>
  <c r="Y47" i="26"/>
  <c r="Z47" i="26"/>
  <c r="AA47" i="26"/>
  <c r="AB47" i="26"/>
  <c r="AC47" i="26"/>
  <c r="AD47" i="26"/>
  <c r="Y48" i="26"/>
  <c r="Z48" i="26"/>
  <c r="AA48" i="26"/>
  <c r="AB48" i="26"/>
  <c r="AC48" i="26"/>
  <c r="AD48" i="26"/>
  <c r="Y49" i="26"/>
  <c r="Z49" i="26"/>
  <c r="AA49" i="26"/>
  <c r="AB49" i="26"/>
  <c r="AC49" i="26"/>
  <c r="AD49" i="26"/>
  <c r="Y50" i="26"/>
  <c r="Z50" i="26"/>
  <c r="AA50" i="26"/>
  <c r="AB50" i="26"/>
  <c r="AC50" i="26"/>
  <c r="AD50" i="26"/>
  <c r="Y51" i="26"/>
  <c r="Z51" i="26"/>
  <c r="AA51" i="26"/>
  <c r="AB51" i="26"/>
  <c r="AC51" i="26"/>
  <c r="AD51" i="26"/>
  <c r="Y52" i="26"/>
  <c r="Z52" i="26"/>
  <c r="AA52" i="26"/>
  <c r="AB52" i="26"/>
  <c r="AC52" i="26"/>
  <c r="AD52" i="26"/>
  <c r="Y53" i="26"/>
  <c r="Z53" i="26"/>
  <c r="AA53" i="26"/>
  <c r="AB53" i="26"/>
  <c r="AC53" i="26"/>
  <c r="AD53" i="26"/>
  <c r="Y54" i="26"/>
  <c r="Z54" i="26"/>
  <c r="AA54" i="26"/>
  <c r="AB54" i="26"/>
  <c r="AC54" i="26"/>
  <c r="AD54" i="26"/>
  <c r="Y55" i="26"/>
  <c r="Z55" i="26"/>
  <c r="AA55" i="26"/>
  <c r="AB55" i="26"/>
  <c r="AC55" i="26"/>
  <c r="AD55" i="26"/>
  <c r="Y56" i="26"/>
  <c r="Z56" i="26"/>
  <c r="AA56" i="26"/>
  <c r="AB56" i="26"/>
  <c r="AC56" i="26"/>
  <c r="AD56" i="26"/>
  <c r="Y57" i="26"/>
  <c r="Z57" i="26"/>
  <c r="AA57" i="26"/>
  <c r="AB57" i="26"/>
  <c r="AC57" i="26"/>
  <c r="AD57" i="26"/>
  <c r="Y58" i="26"/>
  <c r="Z58" i="26"/>
  <c r="AA58" i="26"/>
  <c r="AB58" i="26"/>
  <c r="AC58" i="26"/>
  <c r="AD58" i="26"/>
  <c r="Y59" i="26"/>
  <c r="Z59" i="26"/>
  <c r="AA59" i="26"/>
  <c r="AB59" i="26"/>
  <c r="AC59" i="26"/>
  <c r="AD59" i="26"/>
  <c r="Y60" i="26"/>
  <c r="Z60" i="26"/>
  <c r="AA60" i="26"/>
  <c r="AB60" i="26"/>
  <c r="AC60" i="26"/>
  <c r="AD60" i="26"/>
  <c r="Y61" i="26"/>
  <c r="Z61" i="26"/>
  <c r="AA61" i="26"/>
  <c r="AB61" i="26"/>
  <c r="AC61" i="26"/>
  <c r="AD61" i="26"/>
  <c r="Y62" i="26"/>
  <c r="Z62" i="26"/>
  <c r="AA62" i="26"/>
  <c r="AB62" i="26"/>
  <c r="AC62" i="26"/>
  <c r="AD62" i="26"/>
  <c r="Y63" i="26"/>
  <c r="Z63" i="26"/>
  <c r="AA63" i="26"/>
  <c r="AB63" i="26"/>
  <c r="AC63" i="26"/>
  <c r="AD63" i="26"/>
  <c r="Y64" i="26"/>
  <c r="Z64" i="26"/>
  <c r="AA64" i="26"/>
  <c r="AB64" i="26"/>
  <c r="AC64" i="26"/>
  <c r="AD64" i="26"/>
  <c r="Y65" i="26"/>
  <c r="Z65" i="26"/>
  <c r="AA65" i="26"/>
  <c r="AB65" i="26"/>
  <c r="AC65" i="26"/>
  <c r="AD65" i="26"/>
  <c r="Y66" i="26"/>
  <c r="Z66" i="26"/>
  <c r="AA66" i="26"/>
  <c r="AB66" i="26"/>
  <c r="AC66" i="26"/>
  <c r="AD66" i="26"/>
  <c r="Y67" i="26"/>
  <c r="Z67" i="26"/>
  <c r="AA67" i="26"/>
  <c r="AB67" i="26"/>
  <c r="AC67" i="26"/>
  <c r="AD67" i="26"/>
  <c r="Y68" i="26"/>
  <c r="Z68" i="26"/>
  <c r="AA68" i="26"/>
  <c r="AB68" i="26"/>
  <c r="AC68" i="26"/>
  <c r="AD68" i="26"/>
  <c r="Y69" i="26"/>
  <c r="Z69" i="26"/>
  <c r="AA69" i="26"/>
  <c r="AB69" i="26"/>
  <c r="AC69" i="26"/>
  <c r="AD69" i="26"/>
  <c r="Y70" i="26"/>
  <c r="Z70" i="26"/>
  <c r="AA70" i="26"/>
  <c r="AB70" i="26"/>
  <c r="AC70" i="26"/>
  <c r="AD70" i="26"/>
  <c r="Y71" i="26"/>
  <c r="Z71" i="26"/>
  <c r="AA71" i="26"/>
  <c r="AB71" i="26"/>
  <c r="AC71" i="26"/>
  <c r="AD71" i="26"/>
  <c r="Y72" i="26"/>
  <c r="Z72" i="26"/>
  <c r="AA72" i="26"/>
  <c r="AB72" i="26"/>
  <c r="AC72" i="26"/>
  <c r="AD72" i="26"/>
  <c r="Y73" i="26"/>
  <c r="Z73" i="26"/>
  <c r="AA73" i="26"/>
  <c r="AB73" i="26"/>
  <c r="AC73" i="26"/>
  <c r="AD73" i="26"/>
  <c r="Y74" i="26"/>
  <c r="Z74" i="26"/>
  <c r="AA74" i="26"/>
  <c r="AB74" i="26"/>
  <c r="AC74" i="26"/>
  <c r="AD74" i="26"/>
  <c r="Y75" i="26"/>
  <c r="Z75" i="26"/>
  <c r="AA75" i="26"/>
  <c r="AB75" i="26"/>
  <c r="AC75" i="26"/>
  <c r="AD75" i="26"/>
  <c r="Y76" i="26"/>
  <c r="Z76" i="26"/>
  <c r="AA76" i="26"/>
  <c r="AB76" i="26"/>
  <c r="AC76" i="26"/>
  <c r="AD76" i="26"/>
  <c r="Y77" i="26"/>
  <c r="Z77" i="26"/>
  <c r="AA77" i="26"/>
  <c r="AB77" i="26"/>
  <c r="AC77" i="26"/>
  <c r="AD77" i="26"/>
  <c r="Y78" i="26"/>
  <c r="Z78" i="26"/>
  <c r="AA78" i="26"/>
  <c r="AB78" i="26"/>
  <c r="AC78" i="26"/>
  <c r="AD78" i="26"/>
  <c r="Y79" i="26"/>
  <c r="Z79" i="26"/>
  <c r="AA79" i="26"/>
  <c r="AB79" i="26"/>
  <c r="AC79" i="26"/>
  <c r="AD79" i="26"/>
  <c r="Y80" i="26"/>
  <c r="Z80" i="26"/>
  <c r="AA80" i="26"/>
  <c r="AB80" i="26"/>
  <c r="AC80" i="26"/>
  <c r="AD80" i="26"/>
  <c r="Y81" i="26"/>
  <c r="Z81" i="26"/>
  <c r="AA81" i="26"/>
  <c r="AB81" i="26"/>
  <c r="AC81" i="26"/>
  <c r="AD81" i="26"/>
  <c r="Y82" i="26"/>
  <c r="Z82" i="26"/>
  <c r="AA82" i="26"/>
  <c r="AB82" i="26"/>
  <c r="AC82" i="26"/>
  <c r="AD82" i="26"/>
  <c r="Y83" i="26"/>
  <c r="Z83" i="26"/>
  <c r="AA83" i="26"/>
  <c r="AB83" i="26"/>
  <c r="AC83" i="26"/>
  <c r="AD83" i="26"/>
  <c r="Y84" i="26"/>
  <c r="Z84" i="26"/>
  <c r="AA84" i="26"/>
  <c r="AB84" i="26"/>
  <c r="AC84" i="26"/>
  <c r="AD84" i="26"/>
  <c r="Y85" i="26"/>
  <c r="Z85" i="26"/>
  <c r="AA85" i="26"/>
  <c r="AB85" i="26"/>
  <c r="AC85" i="26"/>
  <c r="AD85" i="26"/>
  <c r="Y86" i="26"/>
  <c r="Z86" i="26"/>
  <c r="AA86" i="26"/>
  <c r="AB86" i="26"/>
  <c r="AC86" i="26"/>
  <c r="AD86" i="26"/>
  <c r="X9" i="26"/>
  <c r="X10" i="26"/>
  <c r="X11" i="26"/>
  <c r="X12" i="26"/>
  <c r="X13" i="26"/>
  <c r="X14" i="26"/>
  <c r="X15" i="26"/>
  <c r="X16" i="26"/>
  <c r="X17" i="26"/>
  <c r="X18" i="26"/>
  <c r="X19" i="26"/>
  <c r="X20" i="26"/>
  <c r="X21" i="26"/>
  <c r="X22" i="26"/>
  <c r="X23" i="26"/>
  <c r="X24" i="26"/>
  <c r="X25" i="26"/>
  <c r="X26" i="26"/>
  <c r="X27" i="26"/>
  <c r="X28" i="26"/>
  <c r="X29" i="26"/>
  <c r="X30" i="26"/>
  <c r="X31" i="26"/>
  <c r="X32" i="26"/>
  <c r="X33" i="26"/>
  <c r="X34" i="26"/>
  <c r="X35" i="26"/>
  <c r="X36" i="26"/>
  <c r="X37" i="26"/>
  <c r="X38" i="26"/>
  <c r="X39" i="26"/>
  <c r="X40" i="26"/>
  <c r="X41" i="26"/>
  <c r="X42" i="26"/>
  <c r="X43" i="26"/>
  <c r="X44" i="26"/>
  <c r="X45" i="26"/>
  <c r="X46" i="26"/>
  <c r="X47" i="26"/>
  <c r="X48" i="26"/>
  <c r="X49" i="26"/>
  <c r="X50" i="26"/>
  <c r="X51" i="26"/>
  <c r="X52" i="26"/>
  <c r="X53" i="26"/>
  <c r="X54" i="26"/>
  <c r="X55" i="26"/>
  <c r="X56" i="26"/>
  <c r="X57" i="26"/>
  <c r="X58" i="26"/>
  <c r="X59" i="26"/>
  <c r="X60" i="26"/>
  <c r="X61" i="26"/>
  <c r="X62" i="26"/>
  <c r="X63" i="26"/>
  <c r="X64" i="26"/>
  <c r="X65" i="26"/>
  <c r="X66" i="26"/>
  <c r="X67" i="26"/>
  <c r="X68" i="26"/>
  <c r="X69" i="26"/>
  <c r="X70" i="26"/>
  <c r="X71" i="26"/>
  <c r="X72" i="26"/>
  <c r="X73" i="26"/>
  <c r="X74" i="26"/>
  <c r="X75" i="26"/>
  <c r="X76" i="26"/>
  <c r="X77" i="26"/>
  <c r="X78" i="26"/>
  <c r="X79" i="26"/>
  <c r="X80" i="26"/>
  <c r="X81" i="26"/>
  <c r="X82" i="26"/>
  <c r="X83" i="26"/>
  <c r="X84" i="26"/>
  <c r="X85" i="26"/>
  <c r="X86" i="26"/>
  <c r="G32" i="23" l="1"/>
  <c r="P23" i="23"/>
  <c r="AB2" i="26"/>
  <c r="C82" i="31"/>
  <c r="C86" i="31"/>
  <c r="C84" i="31"/>
  <c r="E86" i="31"/>
  <c r="E84" i="31"/>
  <c r="E82" i="31"/>
  <c r="L86" i="31"/>
  <c r="M86" i="31"/>
  <c r="W11" i="23"/>
  <c r="AI2" i="26"/>
  <c r="X14" i="31" s="1"/>
  <c r="AF5" i="26"/>
  <c r="Z2" i="26"/>
  <c r="E38" i="26" s="1"/>
  <c r="W18" i="31"/>
  <c r="X18" i="31"/>
  <c r="W19" i="31"/>
  <c r="X19" i="31"/>
  <c r="W20" i="31"/>
  <c r="X20" i="31"/>
  <c r="W21" i="31"/>
  <c r="X21" i="31"/>
  <c r="W22" i="31"/>
  <c r="X22" i="31"/>
  <c r="W23" i="31"/>
  <c r="X23" i="31"/>
  <c r="W24" i="31"/>
  <c r="X24" i="31"/>
  <c r="W25" i="31"/>
  <c r="X25" i="31"/>
  <c r="W26" i="31"/>
  <c r="X26" i="31"/>
  <c r="W27" i="31"/>
  <c r="X27" i="31"/>
  <c r="W28" i="31"/>
  <c r="X28" i="31"/>
  <c r="W29" i="31"/>
  <c r="X29" i="31"/>
  <c r="W30" i="31"/>
  <c r="X30" i="31"/>
  <c r="W31" i="31"/>
  <c r="X31" i="31"/>
  <c r="W32" i="31"/>
  <c r="X32" i="31"/>
  <c r="K19" i="31"/>
  <c r="K20" i="31"/>
  <c r="K21" i="31"/>
  <c r="K22" i="31"/>
  <c r="K23" i="31"/>
  <c r="K24" i="31"/>
  <c r="K25" i="31"/>
  <c r="K26" i="31"/>
  <c r="K27" i="31"/>
  <c r="K28" i="31"/>
  <c r="K29" i="31"/>
  <c r="K30" i="31"/>
  <c r="K31" i="31"/>
  <c r="K32" i="31"/>
  <c r="K18" i="31"/>
  <c r="J19" i="31"/>
  <c r="J20" i="31"/>
  <c r="J21" i="31"/>
  <c r="J22" i="31"/>
  <c r="J23" i="31"/>
  <c r="J24" i="31"/>
  <c r="J25" i="31"/>
  <c r="J26" i="31"/>
  <c r="J27" i="31"/>
  <c r="J28" i="31"/>
  <c r="J29" i="31"/>
  <c r="J30" i="31"/>
  <c r="J31" i="31"/>
  <c r="J32" i="31"/>
  <c r="J18" i="31"/>
  <c r="D19" i="31"/>
  <c r="D20" i="31"/>
  <c r="D21" i="31"/>
  <c r="D22" i="31"/>
  <c r="D23" i="31"/>
  <c r="D24" i="31"/>
  <c r="D25" i="31"/>
  <c r="D26" i="31"/>
  <c r="D27" i="31"/>
  <c r="D28" i="31"/>
  <c r="D29" i="31"/>
  <c r="D30" i="31"/>
  <c r="D31" i="31"/>
  <c r="D32" i="31"/>
  <c r="D18" i="31"/>
  <c r="AK15" i="31"/>
  <c r="AE15" i="31"/>
  <c r="AF49" i="26"/>
  <c r="AF48" i="26"/>
  <c r="AF50" i="26"/>
  <c r="AF51" i="26"/>
  <c r="AF52" i="26"/>
  <c r="AF53" i="26"/>
  <c r="AF54" i="26"/>
  <c r="AF55" i="26"/>
  <c r="AF56" i="26"/>
  <c r="AF57" i="26"/>
  <c r="AF58" i="26"/>
  <c r="X6" i="26"/>
  <c r="X7" i="26"/>
  <c r="X8" i="26"/>
  <c r="AF19" i="26"/>
  <c r="AF6" i="26"/>
  <c r="AF7" i="26"/>
  <c r="AF8" i="26"/>
  <c r="AF9" i="26"/>
  <c r="AF10" i="26"/>
  <c r="AF11" i="26"/>
  <c r="AF12" i="26"/>
  <c r="AG12" i="26"/>
  <c r="AF13" i="26"/>
  <c r="AF14" i="26"/>
  <c r="AG14" i="26"/>
  <c r="AF15" i="26"/>
  <c r="AG15" i="26"/>
  <c r="AF16" i="26"/>
  <c r="AG16" i="26"/>
  <c r="AF17" i="26"/>
  <c r="AF18" i="26"/>
  <c r="AG18" i="26"/>
  <c r="AG57" i="26"/>
  <c r="AJ3" i="23"/>
  <c r="K6" i="31" s="1"/>
  <c r="AJ6" i="23"/>
  <c r="T8" i="31" s="1"/>
  <c r="AJ5" i="23"/>
  <c r="T6" i="31"/>
  <c r="AJ4" i="23"/>
  <c r="K8" i="31" s="1"/>
  <c r="L46" i="1"/>
  <c r="K46" i="1"/>
  <c r="J46" i="1"/>
  <c r="I46" i="1"/>
  <c r="H46" i="1"/>
  <c r="G46" i="1"/>
  <c r="F46" i="1"/>
  <c r="E46" i="1"/>
  <c r="D46" i="1"/>
  <c r="C46" i="1"/>
  <c r="L102" i="1"/>
  <c r="K102" i="1"/>
  <c r="J102" i="1"/>
  <c r="I102" i="1"/>
  <c r="H102" i="1"/>
  <c r="G102" i="1"/>
  <c r="F102" i="1"/>
  <c r="E102" i="1"/>
  <c r="D102" i="1"/>
  <c r="C102" i="1"/>
  <c r="L114" i="1"/>
  <c r="K114" i="1"/>
  <c r="J114" i="1"/>
  <c r="I114" i="1"/>
  <c r="H114" i="1"/>
  <c r="G114" i="1"/>
  <c r="F114" i="1"/>
  <c r="E114" i="1"/>
  <c r="D114" i="1"/>
  <c r="C114" i="1"/>
  <c r="D113" i="16"/>
  <c r="D141" i="15"/>
  <c r="E113" i="16"/>
  <c r="F113" i="16"/>
  <c r="G113" i="16"/>
  <c r="G141" i="15"/>
  <c r="H113" i="16"/>
  <c r="H141" i="15"/>
  <c r="I113" i="16"/>
  <c r="J113" i="16"/>
  <c r="K113" i="16"/>
  <c r="K141" i="15"/>
  <c r="L113" i="16"/>
  <c r="L141" i="15"/>
  <c r="C113" i="16"/>
  <c r="D102" i="16"/>
  <c r="E102" i="16"/>
  <c r="F102" i="16"/>
  <c r="F127" i="15"/>
  <c r="G102" i="16"/>
  <c r="H102" i="16"/>
  <c r="I102" i="16"/>
  <c r="J102" i="16"/>
  <c r="J127" i="15"/>
  <c r="K102" i="16"/>
  <c r="L102" i="16"/>
  <c r="C102" i="16"/>
  <c r="C127" i="15"/>
  <c r="D47" i="16"/>
  <c r="D55" i="15"/>
  <c r="E47" i="16"/>
  <c r="F47" i="16"/>
  <c r="G47" i="16"/>
  <c r="H47" i="16"/>
  <c r="H55" i="15"/>
  <c r="Q55" i="15"/>
  <c r="V55" i="15"/>
  <c r="I47" i="16"/>
  <c r="J47" i="16"/>
  <c r="K47" i="16"/>
  <c r="L47" i="16"/>
  <c r="L55" i="15"/>
  <c r="C47" i="16"/>
  <c r="AC2" i="26"/>
  <c r="AM3" i="26" s="1"/>
  <c r="E51" i="31" s="1"/>
  <c r="AD2" i="26"/>
  <c r="AM4" i="26" s="1"/>
  <c r="E52" i="31" s="1"/>
  <c r="AE2" i="26"/>
  <c r="AM5" i="26" s="1"/>
  <c r="E53" i="31" s="1"/>
  <c r="AF2" i="26"/>
  <c r="AM6" i="26" s="1"/>
  <c r="E54" i="31" s="1"/>
  <c r="AG19" i="26"/>
  <c r="AG6" i="23"/>
  <c r="AG5" i="23"/>
  <c r="AG4" i="23"/>
  <c r="AG3" i="23"/>
  <c r="AF45" i="26"/>
  <c r="AF46" i="26"/>
  <c r="AG46" i="26"/>
  <c r="AF47" i="26"/>
  <c r="AG49" i="26"/>
  <c r="AG50" i="26"/>
  <c r="AG51" i="26"/>
  <c r="AG52" i="26"/>
  <c r="AG53" i="26"/>
  <c r="AG54" i="26"/>
  <c r="AG55" i="26"/>
  <c r="AG56" i="26"/>
  <c r="AI1" i="26"/>
  <c r="AD5" i="26"/>
  <c r="X5" i="26"/>
  <c r="AK57" i="26" s="1"/>
  <c r="I7" i="21"/>
  <c r="I8" i="21"/>
  <c r="I9" i="21"/>
  <c r="I11" i="21"/>
  <c r="I12" i="21"/>
  <c r="I14" i="21"/>
  <c r="I15" i="21"/>
  <c r="I18" i="21"/>
  <c r="I20" i="21"/>
  <c r="I21" i="21"/>
  <c r="I25" i="21"/>
  <c r="I26" i="21"/>
  <c r="I27" i="21"/>
  <c r="I28" i="21"/>
  <c r="I29" i="21"/>
  <c r="I30" i="21"/>
  <c r="I31" i="21"/>
  <c r="I33" i="21"/>
  <c r="I34" i="21"/>
  <c r="I35" i="21"/>
  <c r="I42" i="21"/>
  <c r="I43" i="21"/>
  <c r="I46" i="21"/>
  <c r="I47" i="21"/>
  <c r="I49" i="21" s="1"/>
  <c r="I48" i="21"/>
  <c r="I50" i="21"/>
  <c r="I51" i="21"/>
  <c r="I52" i="21"/>
  <c r="I53" i="21"/>
  <c r="I54" i="21"/>
  <c r="I55" i="21"/>
  <c r="I56" i="21"/>
  <c r="I57" i="21"/>
  <c r="I58" i="21"/>
  <c r="I59" i="21"/>
  <c r="I60" i="21"/>
  <c r="I63" i="21"/>
  <c r="I64" i="21"/>
  <c r="I65" i="21"/>
  <c r="I67" i="21"/>
  <c r="I69" i="21"/>
  <c r="I70" i="21"/>
  <c r="I72" i="21"/>
  <c r="I73" i="21"/>
  <c r="I74" i="21"/>
  <c r="I75" i="21"/>
  <c r="I76" i="21"/>
  <c r="I79" i="21"/>
  <c r="I80" i="21"/>
  <c r="I81" i="21"/>
  <c r="I82" i="21"/>
  <c r="I86" i="21"/>
  <c r="I87" i="21"/>
  <c r="I6" i="21"/>
  <c r="I88" i="21"/>
  <c r="C142" i="15"/>
  <c r="C23" i="15"/>
  <c r="C24" i="15"/>
  <c r="C15" i="15"/>
  <c r="D12" i="15"/>
  <c r="O12" i="15"/>
  <c r="T12" i="15"/>
  <c r="E12" i="15"/>
  <c r="F12" i="15"/>
  <c r="G12" i="15"/>
  <c r="H12" i="15"/>
  <c r="I12" i="15"/>
  <c r="J12" i="15"/>
  <c r="R12" i="15"/>
  <c r="W12" i="15"/>
  <c r="K12" i="15"/>
  <c r="L12" i="15"/>
  <c r="S12" i="15"/>
  <c r="X12" i="15"/>
  <c r="C16" i="11"/>
  <c r="C44" i="9"/>
  <c r="D16" i="11"/>
  <c r="C17" i="11"/>
  <c r="D17" i="11"/>
  <c r="C18" i="11"/>
  <c r="C34" i="9"/>
  <c r="D18" i="11"/>
  <c r="D34" i="9"/>
  <c r="C20" i="11"/>
  <c r="C36" i="9"/>
  <c r="D20" i="11"/>
  <c r="C38" i="11"/>
  <c r="C16" i="9"/>
  <c r="F16" i="9"/>
  <c r="D38" i="11"/>
  <c r="C40" i="11"/>
  <c r="C18" i="9"/>
  <c r="P18" i="9"/>
  <c r="D40" i="11"/>
  <c r="G3" i="9"/>
  <c r="I3" i="9"/>
  <c r="K3" i="9"/>
  <c r="P3" i="9"/>
  <c r="R3" i="9"/>
  <c r="G4" i="9"/>
  <c r="I4" i="9"/>
  <c r="O4" i="9"/>
  <c r="Q4" i="9"/>
  <c r="K4" i="9"/>
  <c r="P4" i="9"/>
  <c r="R4" i="9"/>
  <c r="C5" i="9"/>
  <c r="D5" i="9"/>
  <c r="E5" i="9"/>
  <c r="C6" i="9"/>
  <c r="D6" i="9"/>
  <c r="G6" i="9"/>
  <c r="E6" i="9"/>
  <c r="C7" i="9"/>
  <c r="D7" i="9"/>
  <c r="G7" i="9"/>
  <c r="E7" i="9"/>
  <c r="C8" i="9"/>
  <c r="D8" i="9"/>
  <c r="E8" i="9"/>
  <c r="C9" i="9"/>
  <c r="D9" i="9"/>
  <c r="E9" i="9"/>
  <c r="F10" i="9"/>
  <c r="G10" i="9"/>
  <c r="I10" i="9"/>
  <c r="J10" i="9"/>
  <c r="K10" i="9"/>
  <c r="O10" i="9"/>
  <c r="Q10" i="9"/>
  <c r="P10" i="9"/>
  <c r="R10" i="9"/>
  <c r="G11" i="9"/>
  <c r="I11" i="9"/>
  <c r="J11" i="9"/>
  <c r="K11" i="9"/>
  <c r="P11" i="9"/>
  <c r="R11" i="9"/>
  <c r="G12" i="9"/>
  <c r="O12" i="9"/>
  <c r="Q12" i="9"/>
  <c r="J12" i="9"/>
  <c r="K12" i="9"/>
  <c r="P12" i="9"/>
  <c r="R12" i="9"/>
  <c r="G13" i="9"/>
  <c r="H13" i="9"/>
  <c r="J13" i="9"/>
  <c r="K13" i="9"/>
  <c r="L13" i="9"/>
  <c r="M13" i="9"/>
  <c r="N13" i="9"/>
  <c r="P13" i="9"/>
  <c r="R13" i="9"/>
  <c r="F14" i="9"/>
  <c r="I14" i="9"/>
  <c r="G14" i="9"/>
  <c r="J14" i="9"/>
  <c r="K14" i="9"/>
  <c r="P14" i="9"/>
  <c r="R14" i="9"/>
  <c r="C15" i="9"/>
  <c r="P15" i="9"/>
  <c r="D15" i="9"/>
  <c r="E15" i="9"/>
  <c r="D16" i="9"/>
  <c r="E16" i="9"/>
  <c r="C17" i="9"/>
  <c r="F17" i="9"/>
  <c r="D17" i="9"/>
  <c r="E17" i="9"/>
  <c r="D18" i="9"/>
  <c r="E18" i="9"/>
  <c r="C19" i="9"/>
  <c r="P19" i="9"/>
  <c r="D19" i="9"/>
  <c r="E19" i="9"/>
  <c r="F20" i="9"/>
  <c r="G20" i="9"/>
  <c r="I20" i="9"/>
  <c r="J20" i="9"/>
  <c r="K20" i="9"/>
  <c r="P20" i="9"/>
  <c r="R20" i="9"/>
  <c r="F21" i="9"/>
  <c r="G21" i="9"/>
  <c r="I21" i="9"/>
  <c r="J21" i="9"/>
  <c r="K21" i="9"/>
  <c r="P21" i="9"/>
  <c r="R21" i="9"/>
  <c r="G22" i="9"/>
  <c r="I22" i="9"/>
  <c r="J22" i="9"/>
  <c r="K22" i="9"/>
  <c r="P22" i="9"/>
  <c r="R22" i="9"/>
  <c r="C23" i="9"/>
  <c r="J23" i="9"/>
  <c r="D23" i="9"/>
  <c r="E23" i="9"/>
  <c r="C24" i="9"/>
  <c r="F24" i="9"/>
  <c r="D24" i="9"/>
  <c r="K24" i="9"/>
  <c r="E24" i="9"/>
  <c r="C25" i="9"/>
  <c r="P25" i="9"/>
  <c r="D25" i="9"/>
  <c r="E25" i="9"/>
  <c r="C26" i="9"/>
  <c r="D26" i="9"/>
  <c r="E26" i="9"/>
  <c r="C27" i="9"/>
  <c r="D27" i="9"/>
  <c r="E27" i="9"/>
  <c r="C28" i="9"/>
  <c r="F28" i="9"/>
  <c r="D28" i="9"/>
  <c r="E28" i="9"/>
  <c r="C29" i="9"/>
  <c r="D29" i="9"/>
  <c r="E29" i="9"/>
  <c r="C30" i="9"/>
  <c r="D30" i="9"/>
  <c r="E30" i="9"/>
  <c r="C31" i="9"/>
  <c r="D31" i="9"/>
  <c r="E31" i="9"/>
  <c r="C32" i="9"/>
  <c r="D32" i="9"/>
  <c r="E32" i="9"/>
  <c r="C33" i="9"/>
  <c r="D33" i="9"/>
  <c r="E33" i="9"/>
  <c r="E34" i="9"/>
  <c r="C35" i="9"/>
  <c r="I35" i="9"/>
  <c r="D35" i="9"/>
  <c r="E35" i="9"/>
  <c r="D36" i="9"/>
  <c r="E36" i="9"/>
  <c r="C37" i="9"/>
  <c r="P37" i="9"/>
  <c r="D37" i="9"/>
  <c r="E37" i="9"/>
  <c r="G38" i="9"/>
  <c r="O38" i="9"/>
  <c r="Q38" i="9"/>
  <c r="H38" i="9"/>
  <c r="I38" i="9"/>
  <c r="K38" i="9"/>
  <c r="P38" i="9"/>
  <c r="R38" i="9"/>
  <c r="F39" i="9"/>
  <c r="G39" i="9"/>
  <c r="I39" i="9"/>
  <c r="J39" i="9"/>
  <c r="K39" i="9"/>
  <c r="P39" i="9"/>
  <c r="R39" i="9"/>
  <c r="C40" i="9"/>
  <c r="D40" i="9"/>
  <c r="E40" i="9"/>
  <c r="C41" i="9"/>
  <c r="P41" i="9"/>
  <c r="D41" i="9"/>
  <c r="E41" i="9"/>
  <c r="C42" i="9"/>
  <c r="H42" i="9"/>
  <c r="D42" i="9"/>
  <c r="E42" i="9"/>
  <c r="C43" i="9"/>
  <c r="K43" i="9"/>
  <c r="D43" i="9"/>
  <c r="E43" i="9"/>
  <c r="D44" i="9"/>
  <c r="E44" i="9"/>
  <c r="C45" i="9"/>
  <c r="K45" i="9"/>
  <c r="D45" i="9"/>
  <c r="E45" i="9"/>
  <c r="C46" i="9"/>
  <c r="D46" i="9"/>
  <c r="E46" i="9"/>
  <c r="C47" i="9"/>
  <c r="D47" i="9"/>
  <c r="E47" i="9"/>
  <c r="C48" i="9"/>
  <c r="D48" i="9"/>
  <c r="E48" i="9"/>
  <c r="C49" i="9"/>
  <c r="D49" i="9"/>
  <c r="J49" i="9"/>
  <c r="E49" i="9"/>
  <c r="G50" i="9"/>
  <c r="I50" i="9"/>
  <c r="K50" i="9"/>
  <c r="P50" i="9"/>
  <c r="R50" i="9"/>
  <c r="F51" i="9"/>
  <c r="G51" i="9"/>
  <c r="I51" i="9"/>
  <c r="O51" i="9"/>
  <c r="Q51" i="9"/>
  <c r="J51" i="9"/>
  <c r="K51" i="9"/>
  <c r="P51" i="9"/>
  <c r="R51" i="9"/>
  <c r="G52" i="9"/>
  <c r="I52" i="9"/>
  <c r="J52" i="9"/>
  <c r="P52" i="9"/>
  <c r="R52" i="9"/>
  <c r="G53" i="9"/>
  <c r="I53" i="9"/>
  <c r="J53" i="9"/>
  <c r="K53" i="9"/>
  <c r="O53" i="9"/>
  <c r="Q53" i="9"/>
  <c r="P53" i="9"/>
  <c r="R53" i="9"/>
  <c r="F54" i="9"/>
  <c r="G54" i="9"/>
  <c r="I54" i="9"/>
  <c r="O54" i="9"/>
  <c r="J54" i="9"/>
  <c r="K54" i="9"/>
  <c r="P54" i="9"/>
  <c r="R54" i="9"/>
  <c r="G55" i="9"/>
  <c r="J55" i="9"/>
  <c r="K55" i="9"/>
  <c r="P55" i="9"/>
  <c r="R55" i="9"/>
  <c r="C56" i="9"/>
  <c r="D56" i="9"/>
  <c r="E56" i="9"/>
  <c r="C57" i="9"/>
  <c r="D57" i="9"/>
  <c r="H57" i="9"/>
  <c r="E57" i="9"/>
  <c r="C58" i="9"/>
  <c r="D58" i="9"/>
  <c r="E58" i="9"/>
  <c r="C59" i="9"/>
  <c r="D59" i="9"/>
  <c r="E59" i="9"/>
  <c r="C60" i="9"/>
  <c r="J60" i="9"/>
  <c r="D60" i="9"/>
  <c r="E60" i="9"/>
  <c r="G61" i="9"/>
  <c r="I61" i="9"/>
  <c r="J61" i="9"/>
  <c r="O61" i="9"/>
  <c r="Q61" i="9"/>
  <c r="K61" i="9"/>
  <c r="P61" i="9"/>
  <c r="R61" i="9"/>
  <c r="E2" i="7"/>
  <c r="G2" i="7"/>
  <c r="I2" i="7"/>
  <c r="N2" i="7"/>
  <c r="D3" i="7"/>
  <c r="E3" i="7"/>
  <c r="G3" i="7"/>
  <c r="H3" i="7"/>
  <c r="I3" i="7"/>
  <c r="E4" i="7"/>
  <c r="G4" i="7"/>
  <c r="I4" i="7"/>
  <c r="N4" i="7"/>
  <c r="E5" i="7"/>
  <c r="F5" i="7"/>
  <c r="G5" i="7"/>
  <c r="I5" i="7"/>
  <c r="J5" i="7"/>
  <c r="K5" i="7"/>
  <c r="N5" i="7"/>
  <c r="D6" i="7"/>
  <c r="E6" i="7"/>
  <c r="G6" i="7"/>
  <c r="H6" i="7"/>
  <c r="I6" i="7"/>
  <c r="N6" i="7"/>
  <c r="E7" i="7"/>
  <c r="G7" i="7"/>
  <c r="H7" i="7"/>
  <c r="I7" i="7"/>
  <c r="N7" i="7"/>
  <c r="E8" i="7"/>
  <c r="H8" i="7"/>
  <c r="I8" i="7"/>
  <c r="N8" i="7"/>
  <c r="E9" i="7"/>
  <c r="F9" i="7"/>
  <c r="H9" i="7"/>
  <c r="I9" i="7"/>
  <c r="J9" i="7"/>
  <c r="K9" i="7"/>
  <c r="L9" i="7"/>
  <c r="N9" i="7"/>
  <c r="D10" i="7"/>
  <c r="E10" i="7"/>
  <c r="G10" i="7"/>
  <c r="H10" i="7"/>
  <c r="I10" i="7"/>
  <c r="M10" i="7"/>
  <c r="O10" i="7"/>
  <c r="P10" i="7"/>
  <c r="N10" i="7"/>
  <c r="D11" i="7"/>
  <c r="E11" i="7"/>
  <c r="G11" i="7"/>
  <c r="H11" i="7"/>
  <c r="I11" i="7"/>
  <c r="N11" i="7"/>
  <c r="D12" i="7"/>
  <c r="E12" i="7"/>
  <c r="G12" i="7"/>
  <c r="H12" i="7"/>
  <c r="I12" i="7"/>
  <c r="N12" i="7"/>
  <c r="D13" i="7"/>
  <c r="E13" i="7"/>
  <c r="G13" i="7"/>
  <c r="H13" i="7"/>
  <c r="I13" i="7"/>
  <c r="N13" i="7"/>
  <c r="E14" i="7"/>
  <c r="G14" i="7"/>
  <c r="H14" i="7"/>
  <c r="I14" i="7"/>
  <c r="N14" i="7"/>
  <c r="D15" i="7"/>
  <c r="E15" i="7"/>
  <c r="G15" i="7"/>
  <c r="H15" i="7"/>
  <c r="N15" i="7"/>
  <c r="D16" i="7"/>
  <c r="E16" i="7"/>
  <c r="H16" i="7"/>
  <c r="N16" i="7"/>
  <c r="D17" i="7"/>
  <c r="E17" i="7"/>
  <c r="G17" i="7"/>
  <c r="M17" i="7"/>
  <c r="O17" i="7"/>
  <c r="P17" i="7"/>
  <c r="H17" i="7"/>
  <c r="I17" i="7"/>
  <c r="N17" i="7"/>
  <c r="E18" i="7"/>
  <c r="G18" i="7"/>
  <c r="I18" i="7"/>
  <c r="N18" i="7"/>
  <c r="E19" i="7"/>
  <c r="F19" i="7"/>
  <c r="G19" i="7"/>
  <c r="I19" i="7"/>
  <c r="N19" i="7"/>
  <c r="D20" i="7"/>
  <c r="E20" i="7"/>
  <c r="G20" i="7"/>
  <c r="H20" i="7"/>
  <c r="I20" i="7"/>
  <c r="N20" i="7"/>
  <c r="E21" i="7"/>
  <c r="M21" i="7"/>
  <c r="F21" i="7"/>
  <c r="G21" i="7"/>
  <c r="I21" i="7"/>
  <c r="N21" i="7"/>
  <c r="D22" i="7"/>
  <c r="E22" i="7"/>
  <c r="G22" i="7"/>
  <c r="H22" i="7"/>
  <c r="I22" i="7"/>
  <c r="N22" i="7"/>
  <c r="E23" i="7"/>
  <c r="G23" i="7"/>
  <c r="M23" i="7"/>
  <c r="O23" i="7"/>
  <c r="P23" i="7"/>
  <c r="I23" i="7"/>
  <c r="N23" i="7"/>
  <c r="D24" i="7"/>
  <c r="E24" i="7"/>
  <c r="G24" i="7"/>
  <c r="H24" i="7"/>
  <c r="I24" i="7"/>
  <c r="N24" i="7"/>
  <c r="E25" i="7"/>
  <c r="G25" i="7"/>
  <c r="M25" i="7"/>
  <c r="H25" i="7"/>
  <c r="N25" i="7"/>
  <c r="E26" i="7"/>
  <c r="M26" i="7"/>
  <c r="O26" i="7"/>
  <c r="P26" i="7"/>
  <c r="G26" i="7"/>
  <c r="H26" i="7"/>
  <c r="I26" i="7"/>
  <c r="N26" i="7"/>
  <c r="D27" i="7"/>
  <c r="E27" i="7"/>
  <c r="G27" i="7"/>
  <c r="H27" i="7"/>
  <c r="I27" i="7"/>
  <c r="N27" i="7"/>
  <c r="E28" i="7"/>
  <c r="M28" i="7"/>
  <c r="O28" i="7"/>
  <c r="P28" i="7"/>
  <c r="H28" i="7"/>
  <c r="I28" i="7"/>
  <c r="N28" i="7"/>
  <c r="E29" i="7"/>
  <c r="F29" i="7"/>
  <c r="M29" i="7"/>
  <c r="O29" i="7"/>
  <c r="P29" i="7"/>
  <c r="G29" i="7"/>
  <c r="H29" i="7"/>
  <c r="I29" i="7"/>
  <c r="J29" i="7"/>
  <c r="N29" i="7"/>
  <c r="E30" i="7"/>
  <c r="G30" i="7"/>
  <c r="M30" i="7"/>
  <c r="O30" i="7"/>
  <c r="P30" i="7"/>
  <c r="H30" i="7"/>
  <c r="I30" i="7"/>
  <c r="N30" i="7"/>
  <c r="D34" i="1"/>
  <c r="F34" i="1"/>
  <c r="F36" i="16"/>
  <c r="F42" i="15"/>
  <c r="H34" i="1"/>
  <c r="H36" i="16"/>
  <c r="H42" i="15"/>
  <c r="J34" i="1"/>
  <c r="J36" i="13"/>
  <c r="T36" i="13"/>
  <c r="Y36" i="13"/>
  <c r="L36" i="1"/>
  <c r="C62" i="1"/>
  <c r="D62" i="1"/>
  <c r="F62" i="1"/>
  <c r="H62" i="1"/>
  <c r="H63" i="16"/>
  <c r="H73" i="15"/>
  <c r="H77" i="15"/>
  <c r="D46" i="17"/>
  <c r="J62" i="1"/>
  <c r="L62" i="1"/>
  <c r="L63" i="13"/>
  <c r="U63" i="13"/>
  <c r="Z63" i="13"/>
  <c r="D66" i="1"/>
  <c r="D67" i="16"/>
  <c r="D79" i="15"/>
  <c r="F66" i="1"/>
  <c r="H66" i="1"/>
  <c r="H67" i="13"/>
  <c r="S67" i="13"/>
  <c r="X67" i="13"/>
  <c r="J66" i="1"/>
  <c r="L66" i="1"/>
  <c r="D67" i="1"/>
  <c r="F67" i="1"/>
  <c r="F68" i="13"/>
  <c r="R68" i="13"/>
  <c r="W68" i="13"/>
  <c r="H67" i="1"/>
  <c r="H68" i="13"/>
  <c r="J67" i="1"/>
  <c r="L67" i="1"/>
  <c r="L68" i="13"/>
  <c r="U68" i="13"/>
  <c r="Z68" i="13"/>
  <c r="D69" i="1"/>
  <c r="D70" i="16"/>
  <c r="D82" i="15"/>
  <c r="O82" i="15"/>
  <c r="T82" i="15"/>
  <c r="F69" i="1"/>
  <c r="F70" i="16"/>
  <c r="F82" i="15"/>
  <c r="P82" i="15"/>
  <c r="H69" i="1"/>
  <c r="J69" i="1"/>
  <c r="J70" i="16"/>
  <c r="J82" i="15"/>
  <c r="J88" i="15"/>
  <c r="L69" i="1"/>
  <c r="D76" i="1"/>
  <c r="F76" i="1"/>
  <c r="F77" i="13"/>
  <c r="R77" i="13"/>
  <c r="W77" i="13"/>
  <c r="H76" i="1"/>
  <c r="J76" i="1"/>
  <c r="J77" i="16"/>
  <c r="J94" i="15"/>
  <c r="J98" i="15"/>
  <c r="E53" i="17"/>
  <c r="L76" i="1"/>
  <c r="L77" i="13"/>
  <c r="U77" i="13"/>
  <c r="Z77" i="13"/>
  <c r="D80" i="1"/>
  <c r="D81" i="13"/>
  <c r="Q81" i="13"/>
  <c r="V81" i="13"/>
  <c r="F80" i="1"/>
  <c r="F81" i="13"/>
  <c r="R81" i="13"/>
  <c r="W81" i="13"/>
  <c r="H80" i="1"/>
  <c r="H81" i="13"/>
  <c r="S81" i="13"/>
  <c r="X81" i="13"/>
  <c r="J80" i="1"/>
  <c r="J81" i="16"/>
  <c r="J99" i="15"/>
  <c r="L80" i="1"/>
  <c r="L81" i="13"/>
  <c r="U81" i="13"/>
  <c r="Z81" i="13"/>
  <c r="D81" i="1"/>
  <c r="D82" i="16"/>
  <c r="D100" i="15"/>
  <c r="O100" i="15"/>
  <c r="T100" i="15"/>
  <c r="F81" i="1"/>
  <c r="F82" i="16"/>
  <c r="F100" i="15"/>
  <c r="P100" i="15"/>
  <c r="U100" i="15"/>
  <c r="H81" i="1"/>
  <c r="H82" i="13"/>
  <c r="S82" i="13"/>
  <c r="X82" i="13"/>
  <c r="J81" i="1"/>
  <c r="J82" i="13"/>
  <c r="T82" i="13"/>
  <c r="Y82" i="13"/>
  <c r="L81" i="1"/>
  <c r="D82" i="1"/>
  <c r="D83" i="16"/>
  <c r="F82" i="1"/>
  <c r="H82" i="1"/>
  <c r="H83" i="13"/>
  <c r="J82" i="1"/>
  <c r="L82" i="1"/>
  <c r="L83" i="16"/>
  <c r="L101" i="15"/>
  <c r="L107" i="15"/>
  <c r="F56" i="17"/>
  <c r="Q4" i="13"/>
  <c r="V4" i="13"/>
  <c r="R4" i="13"/>
  <c r="W4" i="13"/>
  <c r="S4" i="13"/>
  <c r="X4" i="13"/>
  <c r="T4" i="13"/>
  <c r="Y4" i="13"/>
  <c r="U4" i="13"/>
  <c r="Z4" i="13"/>
  <c r="Q5" i="13"/>
  <c r="V5" i="13"/>
  <c r="R5" i="13"/>
  <c r="W5" i="13"/>
  <c r="S5" i="13"/>
  <c r="X5" i="13"/>
  <c r="T5" i="13"/>
  <c r="Y5" i="13"/>
  <c r="U5" i="13"/>
  <c r="Z5" i="13"/>
  <c r="Q6" i="13"/>
  <c r="V6" i="13"/>
  <c r="R6" i="13"/>
  <c r="W6" i="13"/>
  <c r="S6" i="13"/>
  <c r="X6" i="13"/>
  <c r="T6" i="13"/>
  <c r="Y6" i="13"/>
  <c r="U6" i="13"/>
  <c r="Z6" i="13"/>
  <c r="Q7" i="13"/>
  <c r="V7" i="13"/>
  <c r="R7" i="13"/>
  <c r="W7" i="13"/>
  <c r="S7" i="13"/>
  <c r="X7" i="13"/>
  <c r="T7" i="13"/>
  <c r="Y7" i="13"/>
  <c r="U7" i="13"/>
  <c r="Z7" i="13"/>
  <c r="Q8" i="13"/>
  <c r="V8" i="13"/>
  <c r="R8" i="13"/>
  <c r="W8" i="13"/>
  <c r="S8" i="13"/>
  <c r="X8" i="13"/>
  <c r="T8" i="13"/>
  <c r="Y8" i="13"/>
  <c r="U8" i="13"/>
  <c r="Z8" i="13"/>
  <c r="Q9" i="13"/>
  <c r="V9" i="13"/>
  <c r="R9" i="13"/>
  <c r="W9" i="13"/>
  <c r="S9" i="13"/>
  <c r="X9" i="13"/>
  <c r="T9" i="13"/>
  <c r="Y9" i="13"/>
  <c r="U9" i="13"/>
  <c r="Z9" i="13"/>
  <c r="Q10" i="13"/>
  <c r="V10" i="13"/>
  <c r="R10" i="13"/>
  <c r="W10" i="13"/>
  <c r="S10" i="13"/>
  <c r="X10" i="13"/>
  <c r="T10" i="13"/>
  <c r="Y10" i="13"/>
  <c r="U10" i="13"/>
  <c r="Z10" i="13"/>
  <c r="Q11" i="13"/>
  <c r="V11" i="13"/>
  <c r="R11" i="13"/>
  <c r="W11" i="13"/>
  <c r="S11" i="13"/>
  <c r="X11" i="13"/>
  <c r="T11" i="13"/>
  <c r="Y11" i="13"/>
  <c r="U11" i="13"/>
  <c r="Z11" i="13"/>
  <c r="Q12" i="13"/>
  <c r="V12" i="13"/>
  <c r="R12" i="13"/>
  <c r="W12" i="13"/>
  <c r="S12" i="13"/>
  <c r="X12" i="13"/>
  <c r="T12" i="13"/>
  <c r="Y12" i="13"/>
  <c r="U12" i="13"/>
  <c r="Z12" i="13"/>
  <c r="Q13" i="13"/>
  <c r="V13" i="13"/>
  <c r="R13" i="13"/>
  <c r="W13" i="13"/>
  <c r="S13" i="13"/>
  <c r="X13" i="13"/>
  <c r="T13" i="13"/>
  <c r="Y13" i="13"/>
  <c r="U13" i="13"/>
  <c r="Z13" i="13"/>
  <c r="Q14" i="13"/>
  <c r="V14" i="13"/>
  <c r="R14" i="13"/>
  <c r="W14" i="13"/>
  <c r="S14" i="13"/>
  <c r="T14" i="13"/>
  <c r="Y14" i="13"/>
  <c r="U14" i="13"/>
  <c r="X14" i="13"/>
  <c r="Z14" i="13"/>
  <c r="Q15" i="13"/>
  <c r="V15" i="13"/>
  <c r="R15" i="13"/>
  <c r="W15" i="13"/>
  <c r="S15" i="13"/>
  <c r="X15" i="13"/>
  <c r="T15" i="13"/>
  <c r="Y15" i="13"/>
  <c r="U15" i="13"/>
  <c r="Z15" i="13"/>
  <c r="Q16" i="13"/>
  <c r="V16" i="13"/>
  <c r="R16" i="13"/>
  <c r="W16" i="13"/>
  <c r="S16" i="13"/>
  <c r="X16" i="13"/>
  <c r="T16" i="13"/>
  <c r="Y16" i="13"/>
  <c r="U16" i="13"/>
  <c r="Z16" i="13"/>
  <c r="Q17" i="13"/>
  <c r="V17" i="13"/>
  <c r="R17" i="13"/>
  <c r="W17" i="13"/>
  <c r="S17" i="13"/>
  <c r="X17" i="13"/>
  <c r="T17" i="13"/>
  <c r="Y17" i="13"/>
  <c r="U17" i="13"/>
  <c r="Z17" i="13"/>
  <c r="Q18" i="13"/>
  <c r="V18" i="13"/>
  <c r="R18" i="13"/>
  <c r="W18" i="13"/>
  <c r="S18" i="13"/>
  <c r="X18" i="13"/>
  <c r="T18" i="13"/>
  <c r="Y18" i="13"/>
  <c r="U18" i="13"/>
  <c r="Z18" i="13"/>
  <c r="Q19" i="13"/>
  <c r="V19" i="13"/>
  <c r="R19" i="13"/>
  <c r="W19" i="13"/>
  <c r="S19" i="13"/>
  <c r="X19" i="13"/>
  <c r="T19" i="13"/>
  <c r="Y19" i="13"/>
  <c r="U19" i="13"/>
  <c r="Z19" i="13"/>
  <c r="Q20" i="13"/>
  <c r="V20" i="13"/>
  <c r="R20" i="13"/>
  <c r="W20" i="13"/>
  <c r="S20" i="13"/>
  <c r="X20" i="13"/>
  <c r="T20" i="13"/>
  <c r="Y20" i="13"/>
  <c r="U20" i="13"/>
  <c r="Z20" i="13"/>
  <c r="Q21" i="13"/>
  <c r="V21" i="13"/>
  <c r="R21" i="13"/>
  <c r="W21" i="13"/>
  <c r="S21" i="13"/>
  <c r="X21" i="13"/>
  <c r="T21" i="13"/>
  <c r="Y21" i="13"/>
  <c r="U21" i="13"/>
  <c r="Z21" i="13"/>
  <c r="Q22" i="13"/>
  <c r="V22" i="13"/>
  <c r="R22" i="13"/>
  <c r="W22" i="13"/>
  <c r="S22" i="13"/>
  <c r="X22" i="13"/>
  <c r="T22" i="13"/>
  <c r="Y22" i="13"/>
  <c r="U22" i="13"/>
  <c r="Z22" i="13"/>
  <c r="Q23" i="13"/>
  <c r="V23" i="13"/>
  <c r="R23" i="13"/>
  <c r="W23" i="13"/>
  <c r="S23" i="13"/>
  <c r="X23" i="13"/>
  <c r="T23" i="13"/>
  <c r="Y23" i="13"/>
  <c r="U23" i="13"/>
  <c r="Z23" i="13"/>
  <c r="Q24" i="13"/>
  <c r="V24" i="13"/>
  <c r="R24" i="13"/>
  <c r="W24" i="13"/>
  <c r="S24" i="13"/>
  <c r="X24" i="13"/>
  <c r="T24" i="13"/>
  <c r="Y24" i="13"/>
  <c r="U24" i="13"/>
  <c r="Z24" i="13"/>
  <c r="Q25" i="13"/>
  <c r="V25" i="13"/>
  <c r="R25" i="13"/>
  <c r="W25" i="13"/>
  <c r="S25" i="13"/>
  <c r="X25" i="13"/>
  <c r="T25" i="13"/>
  <c r="Y25" i="13"/>
  <c r="U25" i="13"/>
  <c r="Z25" i="13"/>
  <c r="Q26" i="13"/>
  <c r="V26" i="13"/>
  <c r="R26" i="13"/>
  <c r="W26" i="13"/>
  <c r="S26" i="13"/>
  <c r="X26" i="13"/>
  <c r="T26" i="13"/>
  <c r="Y26" i="13"/>
  <c r="U26" i="13"/>
  <c r="Z26" i="13"/>
  <c r="Q27" i="13"/>
  <c r="V27" i="13"/>
  <c r="R27" i="13"/>
  <c r="W27" i="13"/>
  <c r="S27" i="13"/>
  <c r="X27" i="13"/>
  <c r="T27" i="13"/>
  <c r="Y27" i="13"/>
  <c r="U27" i="13"/>
  <c r="Z27" i="13"/>
  <c r="Q28" i="13"/>
  <c r="V28" i="13"/>
  <c r="R28" i="13"/>
  <c r="W28" i="13"/>
  <c r="S28" i="13"/>
  <c r="X28" i="13"/>
  <c r="T28" i="13"/>
  <c r="Y28" i="13"/>
  <c r="U28" i="13"/>
  <c r="Z28" i="13"/>
  <c r="Q29" i="13"/>
  <c r="V29" i="13"/>
  <c r="R29" i="13"/>
  <c r="W29" i="13"/>
  <c r="S29" i="13"/>
  <c r="X29" i="13"/>
  <c r="T29" i="13"/>
  <c r="Y29" i="13"/>
  <c r="U29" i="13"/>
  <c r="Z29" i="13"/>
  <c r="Q30" i="13"/>
  <c r="V30" i="13"/>
  <c r="R30" i="13"/>
  <c r="W30" i="13"/>
  <c r="S30" i="13"/>
  <c r="X30" i="13"/>
  <c r="T30" i="13"/>
  <c r="Y30" i="13"/>
  <c r="U30" i="13"/>
  <c r="Z30" i="13"/>
  <c r="Q31" i="13"/>
  <c r="V31" i="13"/>
  <c r="R31" i="13"/>
  <c r="W31" i="13"/>
  <c r="S31" i="13"/>
  <c r="X31" i="13"/>
  <c r="T31" i="13"/>
  <c r="Y31" i="13"/>
  <c r="U31" i="13"/>
  <c r="Z31" i="13"/>
  <c r="Q32" i="13"/>
  <c r="V32" i="13"/>
  <c r="R32" i="13"/>
  <c r="W32" i="13"/>
  <c r="S32" i="13"/>
  <c r="X32" i="13"/>
  <c r="T32" i="13"/>
  <c r="Y32" i="13"/>
  <c r="U32" i="13"/>
  <c r="Z32" i="13"/>
  <c r="Q33" i="13"/>
  <c r="V33" i="13"/>
  <c r="R33" i="13"/>
  <c r="W33" i="13"/>
  <c r="S33" i="13"/>
  <c r="X33" i="13"/>
  <c r="T33" i="13"/>
  <c r="Y33" i="13"/>
  <c r="U33" i="13"/>
  <c r="Z33" i="13"/>
  <c r="Q34" i="13"/>
  <c r="V34" i="13"/>
  <c r="R34" i="13"/>
  <c r="W34" i="13"/>
  <c r="S34" i="13"/>
  <c r="X34" i="13"/>
  <c r="T34" i="13"/>
  <c r="Y34" i="13"/>
  <c r="U34" i="13"/>
  <c r="Z34" i="13"/>
  <c r="Q35" i="13"/>
  <c r="V35" i="13"/>
  <c r="R35" i="13"/>
  <c r="W35" i="13"/>
  <c r="S35" i="13"/>
  <c r="X35" i="13"/>
  <c r="T35" i="13"/>
  <c r="Y35" i="13"/>
  <c r="U35" i="13"/>
  <c r="Z35" i="13"/>
  <c r="E36" i="13"/>
  <c r="G36" i="13"/>
  <c r="I36" i="13"/>
  <c r="K36" i="13"/>
  <c r="L36" i="13"/>
  <c r="U36" i="13"/>
  <c r="Z36" i="13"/>
  <c r="Q37" i="13"/>
  <c r="V37" i="13"/>
  <c r="R37" i="13"/>
  <c r="S37" i="13"/>
  <c r="X37" i="13"/>
  <c r="T37" i="13"/>
  <c r="U37" i="13"/>
  <c r="Z37" i="13"/>
  <c r="W37" i="13"/>
  <c r="Y37" i="13"/>
  <c r="Q38" i="13"/>
  <c r="V38" i="13"/>
  <c r="R38" i="13"/>
  <c r="S38" i="13"/>
  <c r="X38" i="13"/>
  <c r="T38" i="13"/>
  <c r="U38" i="13"/>
  <c r="Z38" i="13"/>
  <c r="W38" i="13"/>
  <c r="Y38" i="13"/>
  <c r="Q39" i="13"/>
  <c r="V39" i="13"/>
  <c r="R39" i="13"/>
  <c r="S39" i="13"/>
  <c r="X39" i="13"/>
  <c r="T39" i="13"/>
  <c r="U39" i="13"/>
  <c r="Z39" i="13"/>
  <c r="W39" i="13"/>
  <c r="Y39" i="13"/>
  <c r="Q40" i="13"/>
  <c r="V40" i="13"/>
  <c r="R40" i="13"/>
  <c r="S40" i="13"/>
  <c r="X40" i="13"/>
  <c r="T40" i="13"/>
  <c r="U40" i="13"/>
  <c r="Z40" i="13"/>
  <c r="W40" i="13"/>
  <c r="Y40" i="13"/>
  <c r="Q41" i="13"/>
  <c r="V41" i="13"/>
  <c r="R41" i="13"/>
  <c r="S41" i="13"/>
  <c r="X41" i="13"/>
  <c r="T41" i="13"/>
  <c r="U41" i="13"/>
  <c r="Z41" i="13"/>
  <c r="W41" i="13"/>
  <c r="Y41" i="13"/>
  <c r="Q42" i="13"/>
  <c r="V42" i="13"/>
  <c r="R42" i="13"/>
  <c r="S42" i="13"/>
  <c r="X42" i="13"/>
  <c r="T42" i="13"/>
  <c r="U42" i="13"/>
  <c r="Z42" i="13"/>
  <c r="W42" i="13"/>
  <c r="Y42" i="13"/>
  <c r="Q43" i="13"/>
  <c r="V43" i="13"/>
  <c r="R43" i="13"/>
  <c r="S43" i="13"/>
  <c r="X43" i="13"/>
  <c r="T43" i="13"/>
  <c r="U43" i="13"/>
  <c r="Z43" i="13"/>
  <c r="W43" i="13"/>
  <c r="Y43" i="13"/>
  <c r="Q44" i="13"/>
  <c r="V44" i="13"/>
  <c r="R44" i="13"/>
  <c r="S44" i="13"/>
  <c r="X44" i="13"/>
  <c r="T44" i="13"/>
  <c r="U44" i="13"/>
  <c r="Z44" i="13"/>
  <c r="W44" i="13"/>
  <c r="Y44" i="13"/>
  <c r="Q45" i="13"/>
  <c r="V45" i="13"/>
  <c r="R45" i="13"/>
  <c r="S45" i="13"/>
  <c r="X45" i="13"/>
  <c r="T45" i="13"/>
  <c r="U45" i="13"/>
  <c r="Z45" i="13"/>
  <c r="W45" i="13"/>
  <c r="Y45" i="13"/>
  <c r="Q46" i="13"/>
  <c r="V46" i="13"/>
  <c r="R46" i="13"/>
  <c r="S46" i="13"/>
  <c r="X46" i="13"/>
  <c r="T46" i="13"/>
  <c r="U46" i="13"/>
  <c r="Z46" i="13"/>
  <c r="W46" i="13"/>
  <c r="Y46" i="13"/>
  <c r="Q47" i="13"/>
  <c r="V47" i="13"/>
  <c r="R47" i="13"/>
  <c r="S47" i="13"/>
  <c r="X47" i="13"/>
  <c r="T47" i="13"/>
  <c r="U47" i="13"/>
  <c r="Z47" i="13"/>
  <c r="W47" i="13"/>
  <c r="Y47" i="13"/>
  <c r="Q48" i="13"/>
  <c r="V48" i="13"/>
  <c r="R48" i="13"/>
  <c r="S48" i="13"/>
  <c r="X48" i="13"/>
  <c r="T48" i="13"/>
  <c r="U48" i="13"/>
  <c r="Z48" i="13"/>
  <c r="W48" i="13"/>
  <c r="Y48" i="13"/>
  <c r="Q49" i="13"/>
  <c r="V49" i="13"/>
  <c r="R49" i="13"/>
  <c r="S49" i="13"/>
  <c r="X49" i="13"/>
  <c r="T49" i="13"/>
  <c r="U49" i="13"/>
  <c r="Z49" i="13"/>
  <c r="W49" i="13"/>
  <c r="Y49" i="13"/>
  <c r="Q50" i="13"/>
  <c r="V50" i="13"/>
  <c r="R50" i="13"/>
  <c r="S50" i="13"/>
  <c r="X50" i="13"/>
  <c r="T50" i="13"/>
  <c r="U50" i="13"/>
  <c r="Z50" i="13"/>
  <c r="W50" i="13"/>
  <c r="Y50" i="13"/>
  <c r="Q51" i="13"/>
  <c r="V51" i="13"/>
  <c r="R51" i="13"/>
  <c r="S51" i="13"/>
  <c r="X51" i="13"/>
  <c r="T51" i="13"/>
  <c r="U51" i="13"/>
  <c r="Z51" i="13"/>
  <c r="W51" i="13"/>
  <c r="Y51" i="13"/>
  <c r="Q52" i="13"/>
  <c r="V52" i="13"/>
  <c r="R52" i="13"/>
  <c r="S52" i="13"/>
  <c r="X52" i="13"/>
  <c r="T52" i="13"/>
  <c r="U52" i="13"/>
  <c r="Z52" i="13"/>
  <c r="W52" i="13"/>
  <c r="Y52" i="13"/>
  <c r="Q53" i="13"/>
  <c r="V53" i="13"/>
  <c r="R53" i="13"/>
  <c r="S53" i="13"/>
  <c r="X53" i="13"/>
  <c r="T53" i="13"/>
  <c r="U53" i="13"/>
  <c r="Z53" i="13"/>
  <c r="W53" i="13"/>
  <c r="Y53" i="13"/>
  <c r="Q54" i="13"/>
  <c r="V54" i="13"/>
  <c r="R54" i="13"/>
  <c r="S54" i="13"/>
  <c r="X54" i="13"/>
  <c r="T54" i="13"/>
  <c r="U54" i="13"/>
  <c r="Z54" i="13"/>
  <c r="W54" i="13"/>
  <c r="Y54" i="13"/>
  <c r="Q55" i="13"/>
  <c r="V55" i="13"/>
  <c r="R55" i="13"/>
  <c r="S55" i="13"/>
  <c r="X55" i="13"/>
  <c r="T55" i="13"/>
  <c r="U55" i="13"/>
  <c r="Z55" i="13"/>
  <c r="W55" i="13"/>
  <c r="Y55" i="13"/>
  <c r="Q56" i="13"/>
  <c r="V56" i="13"/>
  <c r="R56" i="13"/>
  <c r="S56" i="13"/>
  <c r="X56" i="13"/>
  <c r="T56" i="13"/>
  <c r="U56" i="13"/>
  <c r="Z56" i="13"/>
  <c r="W56" i="13"/>
  <c r="Y56" i="13"/>
  <c r="Q57" i="13"/>
  <c r="V57" i="13"/>
  <c r="R57" i="13"/>
  <c r="S57" i="13"/>
  <c r="X57" i="13"/>
  <c r="T57" i="13"/>
  <c r="U57" i="13"/>
  <c r="Z57" i="13"/>
  <c r="W57" i="13"/>
  <c r="Y57" i="13"/>
  <c r="Q58" i="13"/>
  <c r="V58" i="13"/>
  <c r="R58" i="13"/>
  <c r="S58" i="13"/>
  <c r="X58" i="13"/>
  <c r="T58" i="13"/>
  <c r="U58" i="13"/>
  <c r="Z58" i="13"/>
  <c r="W58" i="13"/>
  <c r="Y58" i="13"/>
  <c r="Q59" i="13"/>
  <c r="V59" i="13"/>
  <c r="R59" i="13"/>
  <c r="S59" i="13"/>
  <c r="X59" i="13"/>
  <c r="T59" i="13"/>
  <c r="U59" i="13"/>
  <c r="Z59" i="13"/>
  <c r="W59" i="13"/>
  <c r="Y59" i="13"/>
  <c r="Q60" i="13"/>
  <c r="V60" i="13"/>
  <c r="R60" i="13"/>
  <c r="S60" i="13"/>
  <c r="X60" i="13"/>
  <c r="T60" i="13"/>
  <c r="U60" i="13"/>
  <c r="Z60" i="13"/>
  <c r="W60" i="13"/>
  <c r="Y60" i="13"/>
  <c r="Q61" i="13"/>
  <c r="V61" i="13"/>
  <c r="R61" i="13"/>
  <c r="S61" i="13"/>
  <c r="X61" i="13"/>
  <c r="T61" i="13"/>
  <c r="U61" i="13"/>
  <c r="Z61" i="13"/>
  <c r="W61" i="13"/>
  <c r="Y61" i="13"/>
  <c r="Q62" i="13"/>
  <c r="V62" i="13"/>
  <c r="R62" i="13"/>
  <c r="S62" i="13"/>
  <c r="X62" i="13"/>
  <c r="T62" i="13"/>
  <c r="U62" i="13"/>
  <c r="Z62" i="13"/>
  <c r="W62" i="13"/>
  <c r="Y62" i="13"/>
  <c r="C63" i="13"/>
  <c r="E63" i="13"/>
  <c r="G63" i="13"/>
  <c r="I63" i="13"/>
  <c r="K63" i="13"/>
  <c r="Q64" i="13"/>
  <c r="V64" i="13"/>
  <c r="R64" i="13"/>
  <c r="S64" i="13"/>
  <c r="X64" i="13"/>
  <c r="T64" i="13"/>
  <c r="U64" i="13"/>
  <c r="Z64" i="13"/>
  <c r="W64" i="13"/>
  <c r="Y64" i="13"/>
  <c r="Q65" i="13"/>
  <c r="V65" i="13"/>
  <c r="R65" i="13"/>
  <c r="S65" i="13"/>
  <c r="X65" i="13"/>
  <c r="T65" i="13"/>
  <c r="U65" i="13"/>
  <c r="Z65" i="13"/>
  <c r="W65" i="13"/>
  <c r="Y65" i="13"/>
  <c r="Q66" i="13"/>
  <c r="V66" i="13"/>
  <c r="R66" i="13"/>
  <c r="S66" i="13"/>
  <c r="X66" i="13"/>
  <c r="T66" i="13"/>
  <c r="U66" i="13"/>
  <c r="Z66" i="13"/>
  <c r="W66" i="13"/>
  <c r="Y66" i="13"/>
  <c r="E67" i="13"/>
  <c r="G67" i="13"/>
  <c r="I67" i="13"/>
  <c r="K67" i="13"/>
  <c r="E68" i="13"/>
  <c r="G68" i="13"/>
  <c r="I68" i="13"/>
  <c r="K68" i="13"/>
  <c r="Q69" i="13"/>
  <c r="V69" i="13"/>
  <c r="R69" i="13"/>
  <c r="S69" i="13"/>
  <c r="X69" i="13"/>
  <c r="T69" i="13"/>
  <c r="U69" i="13"/>
  <c r="Z69" i="13"/>
  <c r="W69" i="13"/>
  <c r="Y69" i="13"/>
  <c r="E70" i="13"/>
  <c r="G70" i="13"/>
  <c r="I70" i="13"/>
  <c r="K70" i="13"/>
  <c r="Q71" i="13"/>
  <c r="V71" i="13"/>
  <c r="R71" i="13"/>
  <c r="W71" i="13"/>
  <c r="S71" i="13"/>
  <c r="X71" i="13"/>
  <c r="T71" i="13"/>
  <c r="Y71" i="13"/>
  <c r="U71" i="13"/>
  <c r="Z71" i="13"/>
  <c r="Q72" i="13"/>
  <c r="V72" i="13"/>
  <c r="R72" i="13"/>
  <c r="W72" i="13"/>
  <c r="S72" i="13"/>
  <c r="X72" i="13"/>
  <c r="T72" i="13"/>
  <c r="Y72" i="13"/>
  <c r="U72" i="13"/>
  <c r="Z72" i="13"/>
  <c r="Q73" i="13"/>
  <c r="V73" i="13"/>
  <c r="R73" i="13"/>
  <c r="W73" i="13"/>
  <c r="S73" i="13"/>
  <c r="X73" i="13"/>
  <c r="T73" i="13"/>
  <c r="Y73" i="13"/>
  <c r="U73" i="13"/>
  <c r="Z73" i="13"/>
  <c r="Q74" i="13"/>
  <c r="V74" i="13"/>
  <c r="R74" i="13"/>
  <c r="W74" i="13"/>
  <c r="S74" i="13"/>
  <c r="X74" i="13"/>
  <c r="T74" i="13"/>
  <c r="Y74" i="13"/>
  <c r="U74" i="13"/>
  <c r="Z74" i="13"/>
  <c r="Q75" i="13"/>
  <c r="V75" i="13"/>
  <c r="R75" i="13"/>
  <c r="W75" i="13"/>
  <c r="S75" i="13"/>
  <c r="X75" i="13"/>
  <c r="T75" i="13"/>
  <c r="Y75" i="13"/>
  <c r="U75" i="13"/>
  <c r="Z75" i="13"/>
  <c r="Q76" i="13"/>
  <c r="V76" i="13"/>
  <c r="R76" i="13"/>
  <c r="W76" i="13"/>
  <c r="S76" i="13"/>
  <c r="X76" i="13"/>
  <c r="T76" i="13"/>
  <c r="Y76" i="13"/>
  <c r="U76" i="13"/>
  <c r="Z76" i="13"/>
  <c r="E77" i="13"/>
  <c r="G77" i="13"/>
  <c r="I77" i="13"/>
  <c r="K77" i="13"/>
  <c r="Q78" i="13"/>
  <c r="V78" i="13"/>
  <c r="R78" i="13"/>
  <c r="S78" i="13"/>
  <c r="X78" i="13"/>
  <c r="T78" i="13"/>
  <c r="U78" i="13"/>
  <c r="Z78" i="13"/>
  <c r="W78" i="13"/>
  <c r="Y78" i="13"/>
  <c r="Q79" i="13"/>
  <c r="V79" i="13"/>
  <c r="R79" i="13"/>
  <c r="S79" i="13"/>
  <c r="X79" i="13"/>
  <c r="T79" i="13"/>
  <c r="U79" i="13"/>
  <c r="Z79" i="13"/>
  <c r="W79" i="13"/>
  <c r="Y79" i="13"/>
  <c r="Q80" i="13"/>
  <c r="V80" i="13"/>
  <c r="R80" i="13"/>
  <c r="S80" i="13"/>
  <c r="X80" i="13"/>
  <c r="T80" i="13"/>
  <c r="U80" i="13"/>
  <c r="Z80" i="13"/>
  <c r="W80" i="13"/>
  <c r="Y80" i="13"/>
  <c r="E81" i="13"/>
  <c r="G81" i="13"/>
  <c r="I81" i="13"/>
  <c r="K81" i="13"/>
  <c r="E82" i="13"/>
  <c r="G82" i="13"/>
  <c r="I82" i="13"/>
  <c r="K82" i="13"/>
  <c r="E83" i="13"/>
  <c r="G83" i="13"/>
  <c r="I83" i="13"/>
  <c r="K83" i="13"/>
  <c r="Q84" i="13"/>
  <c r="V84" i="13"/>
  <c r="R84" i="13"/>
  <c r="W84" i="13"/>
  <c r="S84" i="13"/>
  <c r="X84" i="13"/>
  <c r="T84" i="13"/>
  <c r="Y84" i="13"/>
  <c r="U84" i="13"/>
  <c r="Z84" i="13"/>
  <c r="Q85" i="13"/>
  <c r="V85" i="13"/>
  <c r="R85" i="13"/>
  <c r="W85" i="13"/>
  <c r="S85" i="13"/>
  <c r="X85" i="13"/>
  <c r="T85" i="13"/>
  <c r="Y85" i="13"/>
  <c r="U85" i="13"/>
  <c r="Z85" i="13"/>
  <c r="Q86" i="13"/>
  <c r="V86" i="13"/>
  <c r="R86" i="13"/>
  <c r="S86" i="13"/>
  <c r="X86" i="13"/>
  <c r="T86" i="13"/>
  <c r="U86" i="13"/>
  <c r="Z86" i="13"/>
  <c r="W86" i="13"/>
  <c r="Y86" i="13"/>
  <c r="Q87" i="13"/>
  <c r="V87" i="13"/>
  <c r="R87" i="13"/>
  <c r="S87" i="13"/>
  <c r="X87" i="13"/>
  <c r="T87" i="13"/>
  <c r="U87" i="13"/>
  <c r="Z87" i="13"/>
  <c r="W87" i="13"/>
  <c r="Y87" i="13"/>
  <c r="Q88" i="13"/>
  <c r="V88" i="13"/>
  <c r="R88" i="13"/>
  <c r="S88" i="13"/>
  <c r="X88" i="13"/>
  <c r="T88" i="13"/>
  <c r="U88" i="13"/>
  <c r="Z88" i="13"/>
  <c r="W88" i="13"/>
  <c r="Y88" i="13"/>
  <c r="Q89" i="13"/>
  <c r="V89" i="13"/>
  <c r="R89" i="13"/>
  <c r="S89" i="13"/>
  <c r="X89" i="13"/>
  <c r="T89" i="13"/>
  <c r="U89" i="13"/>
  <c r="Z89" i="13"/>
  <c r="W89" i="13"/>
  <c r="Y89" i="13"/>
  <c r="Q90" i="13"/>
  <c r="V90" i="13"/>
  <c r="R90" i="13"/>
  <c r="S90" i="13"/>
  <c r="X90" i="13"/>
  <c r="T90" i="13"/>
  <c r="U90" i="13"/>
  <c r="Z90" i="13"/>
  <c r="W90" i="13"/>
  <c r="Y90" i="13"/>
  <c r="Q91" i="13"/>
  <c r="V91" i="13"/>
  <c r="R91" i="13"/>
  <c r="S91" i="13"/>
  <c r="X91" i="13"/>
  <c r="T91" i="13"/>
  <c r="U91" i="13"/>
  <c r="Z91" i="13"/>
  <c r="W91" i="13"/>
  <c r="Y91" i="13"/>
  <c r="Q92" i="13"/>
  <c r="V92" i="13"/>
  <c r="R92" i="13"/>
  <c r="S92" i="13"/>
  <c r="X92" i="13"/>
  <c r="T92" i="13"/>
  <c r="U92" i="13"/>
  <c r="Z92" i="13"/>
  <c r="W92" i="13"/>
  <c r="Y92" i="13"/>
  <c r="Q93" i="13"/>
  <c r="V93" i="13"/>
  <c r="R93" i="13"/>
  <c r="S93" i="13"/>
  <c r="X93" i="13"/>
  <c r="T93" i="13"/>
  <c r="U93" i="13"/>
  <c r="Z93" i="13"/>
  <c r="W93" i="13"/>
  <c r="Y93" i="13"/>
  <c r="Q94" i="13"/>
  <c r="V94" i="13"/>
  <c r="R94" i="13"/>
  <c r="S94" i="13"/>
  <c r="X94" i="13"/>
  <c r="T94" i="13"/>
  <c r="U94" i="13"/>
  <c r="Z94" i="13"/>
  <c r="W94" i="13"/>
  <c r="Y94" i="13"/>
  <c r="Q95" i="13"/>
  <c r="V95" i="13"/>
  <c r="R95" i="13"/>
  <c r="S95" i="13"/>
  <c r="X95" i="13"/>
  <c r="T95" i="13"/>
  <c r="U95" i="13"/>
  <c r="Z95" i="13"/>
  <c r="W95" i="13"/>
  <c r="Y95" i="13"/>
  <c r="Q96" i="13"/>
  <c r="V96" i="13"/>
  <c r="R96" i="13"/>
  <c r="S96" i="13"/>
  <c r="X96" i="13"/>
  <c r="T96" i="13"/>
  <c r="U96" i="13"/>
  <c r="Z96" i="13"/>
  <c r="W96" i="13"/>
  <c r="Y96" i="13"/>
  <c r="Q97" i="13"/>
  <c r="V97" i="13"/>
  <c r="R97" i="13"/>
  <c r="S97" i="13"/>
  <c r="X97" i="13"/>
  <c r="T97" i="13"/>
  <c r="U97" i="13"/>
  <c r="Z97" i="13"/>
  <c r="W97" i="13"/>
  <c r="Y97" i="13"/>
  <c r="Q98" i="13"/>
  <c r="V98" i="13"/>
  <c r="R98" i="13"/>
  <c r="S98" i="13"/>
  <c r="X98" i="13"/>
  <c r="T98" i="13"/>
  <c r="U98" i="13"/>
  <c r="Z98" i="13"/>
  <c r="W98" i="13"/>
  <c r="Y98" i="13"/>
  <c r="Q99" i="13"/>
  <c r="V99" i="13"/>
  <c r="R99" i="13"/>
  <c r="S99" i="13"/>
  <c r="X99" i="13"/>
  <c r="T99" i="13"/>
  <c r="U99" i="13"/>
  <c r="Z99" i="13"/>
  <c r="W99" i="13"/>
  <c r="Y99" i="13"/>
  <c r="Q100" i="13"/>
  <c r="V100" i="13"/>
  <c r="R100" i="13"/>
  <c r="S100" i="13"/>
  <c r="X100" i="13"/>
  <c r="T100" i="13"/>
  <c r="U100" i="13"/>
  <c r="Z100" i="13"/>
  <c r="W100" i="13"/>
  <c r="Y100" i="13"/>
  <c r="Q101" i="13"/>
  <c r="V101" i="13"/>
  <c r="R101" i="13"/>
  <c r="S101" i="13"/>
  <c r="X101" i="13"/>
  <c r="T101" i="13"/>
  <c r="U101" i="13"/>
  <c r="Z101" i="13"/>
  <c r="W101" i="13"/>
  <c r="Y101" i="13"/>
  <c r="Q102" i="13"/>
  <c r="V102" i="13"/>
  <c r="R102" i="13"/>
  <c r="S102" i="13"/>
  <c r="X102" i="13"/>
  <c r="T102" i="13"/>
  <c r="U102" i="13"/>
  <c r="Z102" i="13"/>
  <c r="W102" i="13"/>
  <c r="Y102" i="13"/>
  <c r="Q103" i="13"/>
  <c r="V103" i="13"/>
  <c r="R103" i="13"/>
  <c r="S103" i="13"/>
  <c r="X103" i="13"/>
  <c r="T103" i="13"/>
  <c r="U103" i="13"/>
  <c r="Z103" i="13"/>
  <c r="W103" i="13"/>
  <c r="Y103" i="13"/>
  <c r="Q104" i="13"/>
  <c r="V104" i="13"/>
  <c r="R104" i="13"/>
  <c r="S104" i="13"/>
  <c r="X104" i="13"/>
  <c r="T104" i="13"/>
  <c r="U104" i="13"/>
  <c r="Z104" i="13"/>
  <c r="W104" i="13"/>
  <c r="Y104" i="13"/>
  <c r="Q105" i="13"/>
  <c r="V105" i="13"/>
  <c r="R105" i="13"/>
  <c r="S105" i="13"/>
  <c r="X105" i="13"/>
  <c r="T105" i="13"/>
  <c r="U105" i="13"/>
  <c r="Z105" i="13"/>
  <c r="W105" i="13"/>
  <c r="Y105" i="13"/>
  <c r="Q106" i="13"/>
  <c r="V106" i="13"/>
  <c r="R106" i="13"/>
  <c r="S106" i="13"/>
  <c r="X106" i="13"/>
  <c r="T106" i="13"/>
  <c r="U106" i="13"/>
  <c r="Z106" i="13"/>
  <c r="W106" i="13"/>
  <c r="Y106" i="13"/>
  <c r="Q107" i="13"/>
  <c r="V107" i="13"/>
  <c r="R107" i="13"/>
  <c r="S107" i="13"/>
  <c r="X107" i="13"/>
  <c r="T107" i="13"/>
  <c r="U107" i="13"/>
  <c r="Z107" i="13"/>
  <c r="W107" i="13"/>
  <c r="Y107" i="13"/>
  <c r="Q108" i="13"/>
  <c r="V108" i="13"/>
  <c r="R108" i="13"/>
  <c r="S108" i="13"/>
  <c r="X108" i="13"/>
  <c r="T108" i="13"/>
  <c r="U108" i="13"/>
  <c r="Z108" i="13"/>
  <c r="W108" i="13"/>
  <c r="Y108" i="13"/>
  <c r="Q109" i="13"/>
  <c r="V109" i="13"/>
  <c r="R109" i="13"/>
  <c r="S109" i="13"/>
  <c r="X109" i="13"/>
  <c r="T109" i="13"/>
  <c r="U109" i="13"/>
  <c r="Z109" i="13"/>
  <c r="W109" i="13"/>
  <c r="Y109" i="13"/>
  <c r="Q110" i="13"/>
  <c r="V110" i="13"/>
  <c r="R110" i="13"/>
  <c r="S110" i="13"/>
  <c r="X110" i="13"/>
  <c r="T110" i="13"/>
  <c r="U110" i="13"/>
  <c r="Z110" i="13"/>
  <c r="W110" i="13"/>
  <c r="Y110" i="13"/>
  <c r="Q111" i="13"/>
  <c r="V111" i="13"/>
  <c r="R111" i="13"/>
  <c r="S111" i="13"/>
  <c r="X111" i="13"/>
  <c r="T111" i="13"/>
  <c r="U111" i="13"/>
  <c r="Z111" i="13"/>
  <c r="W111" i="13"/>
  <c r="Y111" i="13"/>
  <c r="Q112" i="13"/>
  <c r="V112" i="13"/>
  <c r="R112" i="13"/>
  <c r="S112" i="13"/>
  <c r="X112" i="13"/>
  <c r="T112" i="13"/>
  <c r="U112" i="13"/>
  <c r="Z112" i="13"/>
  <c r="W112" i="13"/>
  <c r="Y112" i="13"/>
  <c r="Q113" i="13"/>
  <c r="V113" i="13"/>
  <c r="R113" i="13"/>
  <c r="S113" i="13"/>
  <c r="X113" i="13"/>
  <c r="T113" i="13"/>
  <c r="U113" i="13"/>
  <c r="Z113" i="13"/>
  <c r="W113" i="13"/>
  <c r="Y113" i="13"/>
  <c r="Q114" i="13"/>
  <c r="V114" i="13"/>
  <c r="R114" i="13"/>
  <c r="S114" i="13"/>
  <c r="X114" i="13"/>
  <c r="T114" i="13"/>
  <c r="U114" i="13"/>
  <c r="Z114" i="13"/>
  <c r="W114" i="13"/>
  <c r="Y114" i="13"/>
  <c r="Q115" i="13"/>
  <c r="V115" i="13"/>
  <c r="R115" i="13"/>
  <c r="S115" i="13"/>
  <c r="X115" i="13"/>
  <c r="T115" i="13"/>
  <c r="U115" i="13"/>
  <c r="Z115" i="13"/>
  <c r="W115" i="13"/>
  <c r="Y115" i="13"/>
  <c r="Q116" i="13"/>
  <c r="V116" i="13"/>
  <c r="R116" i="13"/>
  <c r="S116" i="13"/>
  <c r="X116" i="13"/>
  <c r="T116" i="13"/>
  <c r="U116" i="13"/>
  <c r="Z116" i="13"/>
  <c r="W116" i="13"/>
  <c r="Y116" i="13"/>
  <c r="Q117" i="13"/>
  <c r="V117" i="13"/>
  <c r="R117" i="13"/>
  <c r="S117" i="13"/>
  <c r="X117" i="13"/>
  <c r="T117" i="13"/>
  <c r="U117" i="13"/>
  <c r="Z117" i="13"/>
  <c r="W117" i="13"/>
  <c r="Y117" i="13"/>
  <c r="Q118" i="13"/>
  <c r="V118" i="13"/>
  <c r="R118" i="13"/>
  <c r="S118" i="13"/>
  <c r="X118" i="13"/>
  <c r="T118" i="13"/>
  <c r="U118" i="13"/>
  <c r="Z118" i="13"/>
  <c r="W118" i="13"/>
  <c r="Y118" i="13"/>
  <c r="Q119" i="13"/>
  <c r="V119" i="13"/>
  <c r="R119" i="13"/>
  <c r="S119" i="13"/>
  <c r="X119" i="13"/>
  <c r="T119" i="13"/>
  <c r="U119" i="13"/>
  <c r="Z119" i="13"/>
  <c r="W119" i="13"/>
  <c r="Y119" i="13"/>
  <c r="Q120" i="13"/>
  <c r="V120" i="13"/>
  <c r="R120" i="13"/>
  <c r="S120" i="13"/>
  <c r="X120" i="13"/>
  <c r="T120" i="13"/>
  <c r="U120" i="13"/>
  <c r="Z120" i="13"/>
  <c r="W120" i="13"/>
  <c r="Y120" i="13"/>
  <c r="Q121" i="13"/>
  <c r="V121" i="13"/>
  <c r="R121" i="13"/>
  <c r="S121" i="13"/>
  <c r="X121" i="13"/>
  <c r="T121" i="13"/>
  <c r="U121" i="13"/>
  <c r="Z121" i="13"/>
  <c r="W121" i="13"/>
  <c r="Y121" i="13"/>
  <c r="Q122" i="13"/>
  <c r="V122" i="13"/>
  <c r="R122" i="13"/>
  <c r="S122" i="13"/>
  <c r="X122" i="13"/>
  <c r="T122" i="13"/>
  <c r="U122" i="13"/>
  <c r="Z122" i="13"/>
  <c r="W122" i="13"/>
  <c r="Y122" i="13"/>
  <c r="Q123" i="13"/>
  <c r="V123" i="13"/>
  <c r="R123" i="13"/>
  <c r="S123" i="13"/>
  <c r="X123" i="13"/>
  <c r="T123" i="13"/>
  <c r="U123" i="13"/>
  <c r="Z123" i="13"/>
  <c r="W123" i="13"/>
  <c r="Y123" i="13"/>
  <c r="Q124" i="13"/>
  <c r="V124" i="13"/>
  <c r="R124" i="13"/>
  <c r="S124" i="13"/>
  <c r="X124" i="13"/>
  <c r="T124" i="13"/>
  <c r="U124" i="13"/>
  <c r="Z124" i="13"/>
  <c r="W124" i="13"/>
  <c r="Y124" i="13"/>
  <c r="E36" i="16"/>
  <c r="E42" i="15"/>
  <c r="E46" i="15"/>
  <c r="G36" i="16"/>
  <c r="G42" i="15"/>
  <c r="G46" i="15"/>
  <c r="I36" i="16"/>
  <c r="I42" i="15"/>
  <c r="I46" i="15"/>
  <c r="K36" i="16"/>
  <c r="K42" i="15"/>
  <c r="K46" i="15"/>
  <c r="L36" i="16"/>
  <c r="L42" i="15"/>
  <c r="S42" i="15"/>
  <c r="E63" i="16"/>
  <c r="E73" i="15"/>
  <c r="E77" i="15"/>
  <c r="G63" i="16"/>
  <c r="G73" i="15"/>
  <c r="G77" i="15"/>
  <c r="I63" i="16"/>
  <c r="I73" i="15"/>
  <c r="I77" i="15"/>
  <c r="K63" i="16"/>
  <c r="K73" i="15"/>
  <c r="K77" i="15"/>
  <c r="E67" i="16"/>
  <c r="E79" i="15"/>
  <c r="E86" i="15"/>
  <c r="G67" i="16"/>
  <c r="G79" i="15"/>
  <c r="G86" i="15"/>
  <c r="I67" i="16"/>
  <c r="I79" i="15"/>
  <c r="I86" i="15"/>
  <c r="K67" i="16"/>
  <c r="K79" i="15"/>
  <c r="K86" i="15"/>
  <c r="E68" i="16"/>
  <c r="E80" i="15"/>
  <c r="E87" i="15"/>
  <c r="G68" i="16"/>
  <c r="G80" i="15"/>
  <c r="G87" i="15"/>
  <c r="I68" i="16"/>
  <c r="K68" i="16"/>
  <c r="K80" i="15"/>
  <c r="K87" i="15"/>
  <c r="E70" i="16"/>
  <c r="E82" i="15"/>
  <c r="E88" i="15"/>
  <c r="G70" i="16"/>
  <c r="G82" i="15"/>
  <c r="G88" i="15"/>
  <c r="I70" i="16"/>
  <c r="I82" i="15"/>
  <c r="I88" i="15"/>
  <c r="K70" i="16"/>
  <c r="K82" i="15"/>
  <c r="K88" i="15"/>
  <c r="E77" i="16"/>
  <c r="E94" i="15"/>
  <c r="E98" i="15"/>
  <c r="G77" i="16"/>
  <c r="G94" i="15"/>
  <c r="G98" i="15"/>
  <c r="I77" i="16"/>
  <c r="K77" i="16"/>
  <c r="E81" i="16"/>
  <c r="E99" i="15"/>
  <c r="E105" i="15"/>
  <c r="G81" i="16"/>
  <c r="I81" i="16"/>
  <c r="I99" i="15"/>
  <c r="I105" i="15"/>
  <c r="K81" i="16"/>
  <c r="K99" i="15"/>
  <c r="K105" i="15"/>
  <c r="E82" i="16"/>
  <c r="E100" i="15"/>
  <c r="E106" i="15"/>
  <c r="G82" i="16"/>
  <c r="G100" i="15"/>
  <c r="G106" i="15"/>
  <c r="I82" i="16"/>
  <c r="I100" i="15"/>
  <c r="I106" i="15"/>
  <c r="K82" i="16"/>
  <c r="K100" i="15"/>
  <c r="K106" i="15"/>
  <c r="E83" i="16"/>
  <c r="E101" i="15"/>
  <c r="E107" i="15"/>
  <c r="G83" i="16"/>
  <c r="G101" i="15"/>
  <c r="G107" i="15"/>
  <c r="I83" i="16"/>
  <c r="I101" i="15"/>
  <c r="I107" i="15"/>
  <c r="K83" i="16"/>
  <c r="K101" i="15"/>
  <c r="K107" i="15"/>
  <c r="C4" i="15"/>
  <c r="D4" i="15"/>
  <c r="O4" i="15"/>
  <c r="T4" i="15"/>
  <c r="E4" i="15"/>
  <c r="F4" i="15"/>
  <c r="P4" i="15"/>
  <c r="U4" i="15"/>
  <c r="G4" i="15"/>
  <c r="H4" i="15"/>
  <c r="Q4" i="15"/>
  <c r="V4" i="15"/>
  <c r="I4" i="15"/>
  <c r="J4" i="15"/>
  <c r="R4" i="15"/>
  <c r="W4" i="15"/>
  <c r="K4" i="15"/>
  <c r="L4" i="15"/>
  <c r="S4" i="15"/>
  <c r="X4" i="15"/>
  <c r="C5" i="15"/>
  <c r="C6" i="15"/>
  <c r="D5" i="15"/>
  <c r="O5" i="15"/>
  <c r="T5" i="15"/>
  <c r="E5" i="15"/>
  <c r="E6" i="15"/>
  <c r="F5" i="15"/>
  <c r="P5" i="15"/>
  <c r="U5" i="15"/>
  <c r="G5" i="15"/>
  <c r="G6" i="15"/>
  <c r="H5" i="15"/>
  <c r="Q5" i="15"/>
  <c r="V5" i="15"/>
  <c r="I5" i="15"/>
  <c r="I6" i="15"/>
  <c r="J5" i="15"/>
  <c r="R5" i="15"/>
  <c r="W5" i="15"/>
  <c r="K5" i="15"/>
  <c r="K6" i="15"/>
  <c r="L5" i="15"/>
  <c r="L6" i="15"/>
  <c r="F4" i="17"/>
  <c r="AC5" i="26" s="1"/>
  <c r="C7" i="15"/>
  <c r="D7" i="15"/>
  <c r="B5" i="17"/>
  <c r="E7" i="15"/>
  <c r="F7" i="15"/>
  <c r="C5" i="17"/>
  <c r="G7" i="15"/>
  <c r="H7" i="15"/>
  <c r="D5" i="17"/>
  <c r="I7" i="15"/>
  <c r="J7" i="15"/>
  <c r="K7" i="15"/>
  <c r="L7" i="15"/>
  <c r="F5" i="17"/>
  <c r="C8" i="15"/>
  <c r="D8" i="15"/>
  <c r="O8" i="15"/>
  <c r="T8" i="15"/>
  <c r="E8" i="15"/>
  <c r="F8" i="15"/>
  <c r="G8" i="15"/>
  <c r="H8" i="15"/>
  <c r="I8" i="15"/>
  <c r="J8" i="15"/>
  <c r="K8" i="15"/>
  <c r="L8" i="15"/>
  <c r="S8" i="15"/>
  <c r="X8" i="15"/>
  <c r="C9" i="15"/>
  <c r="D9" i="15"/>
  <c r="E9" i="15"/>
  <c r="F9" i="15"/>
  <c r="C6" i="17"/>
  <c r="G9" i="15"/>
  <c r="H9" i="15"/>
  <c r="I9" i="15"/>
  <c r="J9" i="15"/>
  <c r="R9" i="15"/>
  <c r="K9" i="15"/>
  <c r="L9" i="15"/>
  <c r="S9" i="15"/>
  <c r="X9" i="15"/>
  <c r="C10" i="15"/>
  <c r="D10" i="15"/>
  <c r="O10" i="15"/>
  <c r="T10" i="15"/>
  <c r="E10" i="15"/>
  <c r="F10" i="15"/>
  <c r="P10" i="15"/>
  <c r="U10" i="15"/>
  <c r="G10" i="15"/>
  <c r="H10" i="15"/>
  <c r="Q10" i="15"/>
  <c r="V10" i="15"/>
  <c r="I10" i="15"/>
  <c r="J10" i="15"/>
  <c r="R10" i="15"/>
  <c r="W10" i="15"/>
  <c r="K10" i="15"/>
  <c r="L10" i="15"/>
  <c r="S10" i="15"/>
  <c r="X10" i="15"/>
  <c r="C11" i="15"/>
  <c r="D11" i="15"/>
  <c r="O11" i="15"/>
  <c r="T11" i="15"/>
  <c r="E11" i="15"/>
  <c r="F11" i="15"/>
  <c r="P11" i="15"/>
  <c r="U11" i="15"/>
  <c r="G11" i="15"/>
  <c r="G13" i="15"/>
  <c r="H11" i="15"/>
  <c r="Q11" i="15"/>
  <c r="V11" i="15"/>
  <c r="I11" i="15"/>
  <c r="I13" i="15"/>
  <c r="J11" i="15"/>
  <c r="K11" i="15"/>
  <c r="K13" i="15"/>
  <c r="L11" i="15"/>
  <c r="C12" i="15"/>
  <c r="C13" i="15"/>
  <c r="P12" i="15"/>
  <c r="U12" i="15"/>
  <c r="C14" i="15"/>
  <c r="D14" i="15"/>
  <c r="O14" i="15"/>
  <c r="T14" i="15"/>
  <c r="E14" i="15"/>
  <c r="F14" i="15"/>
  <c r="P14" i="15"/>
  <c r="U14" i="15"/>
  <c r="G14" i="15"/>
  <c r="H14" i="15"/>
  <c r="Q14" i="15"/>
  <c r="V14" i="15"/>
  <c r="I14" i="15"/>
  <c r="J14" i="15"/>
  <c r="R14" i="15"/>
  <c r="W14" i="15"/>
  <c r="K14" i="15"/>
  <c r="L14" i="15"/>
  <c r="S14" i="15"/>
  <c r="X14" i="15"/>
  <c r="D15" i="15"/>
  <c r="E15" i="15"/>
  <c r="F15" i="15"/>
  <c r="C9" i="17"/>
  <c r="G15" i="15"/>
  <c r="H15" i="15"/>
  <c r="D9" i="17"/>
  <c r="I15" i="15"/>
  <c r="J15" i="15"/>
  <c r="R15" i="15"/>
  <c r="W15" i="15"/>
  <c r="K15" i="15"/>
  <c r="L15" i="15"/>
  <c r="F9" i="17"/>
  <c r="C16" i="15"/>
  <c r="D16" i="15"/>
  <c r="O16" i="15"/>
  <c r="T16" i="15"/>
  <c r="E16" i="15"/>
  <c r="F16" i="15"/>
  <c r="P16" i="15"/>
  <c r="U16" i="15"/>
  <c r="G16" i="15"/>
  <c r="H16" i="15"/>
  <c r="Q16" i="15"/>
  <c r="V16" i="15"/>
  <c r="I16" i="15"/>
  <c r="J16" i="15"/>
  <c r="R16" i="15"/>
  <c r="W16" i="15"/>
  <c r="K16" i="15"/>
  <c r="L16" i="15"/>
  <c r="S16" i="15"/>
  <c r="X16" i="15"/>
  <c r="C17" i="15"/>
  <c r="D17" i="15"/>
  <c r="O17" i="15"/>
  <c r="T17" i="15"/>
  <c r="E17" i="15"/>
  <c r="F17" i="15"/>
  <c r="P17" i="15"/>
  <c r="U17" i="15"/>
  <c r="G17" i="15"/>
  <c r="H17" i="15"/>
  <c r="Q17" i="15"/>
  <c r="V17" i="15"/>
  <c r="I17" i="15"/>
  <c r="J17" i="15"/>
  <c r="R17" i="15"/>
  <c r="W17" i="15"/>
  <c r="K17" i="15"/>
  <c r="L17" i="15"/>
  <c r="S17" i="15"/>
  <c r="X17" i="15"/>
  <c r="C18" i="15"/>
  <c r="C20" i="15"/>
  <c r="D18" i="15"/>
  <c r="D20" i="15"/>
  <c r="B10" i="17"/>
  <c r="E18" i="15"/>
  <c r="E20" i="15"/>
  <c r="F18" i="15"/>
  <c r="G18" i="15"/>
  <c r="G20" i="15"/>
  <c r="H18" i="15"/>
  <c r="Q18" i="15"/>
  <c r="V18" i="15"/>
  <c r="I18" i="15"/>
  <c r="I20" i="15"/>
  <c r="J18" i="15"/>
  <c r="R18" i="15"/>
  <c r="W18" i="15"/>
  <c r="K18" i="15"/>
  <c r="K20" i="15"/>
  <c r="L18" i="15"/>
  <c r="S18" i="15"/>
  <c r="X18" i="15"/>
  <c r="C19" i="15"/>
  <c r="D19" i="15"/>
  <c r="O19" i="15"/>
  <c r="T19" i="15"/>
  <c r="E19" i="15"/>
  <c r="F19" i="15"/>
  <c r="P19" i="15"/>
  <c r="U19" i="15"/>
  <c r="G19" i="15"/>
  <c r="H19" i="15"/>
  <c r="Q19" i="15"/>
  <c r="V19" i="15"/>
  <c r="I19" i="15"/>
  <c r="J19" i="15"/>
  <c r="R19" i="15"/>
  <c r="W19" i="15"/>
  <c r="K19" i="15"/>
  <c r="L19" i="15"/>
  <c r="S19" i="15"/>
  <c r="X19" i="15"/>
  <c r="C21" i="15"/>
  <c r="D21" i="15"/>
  <c r="O21" i="15"/>
  <c r="T21" i="15"/>
  <c r="E21" i="15"/>
  <c r="F21" i="15"/>
  <c r="P21" i="15"/>
  <c r="U21" i="15"/>
  <c r="G21" i="15"/>
  <c r="H21" i="15"/>
  <c r="Q21" i="15"/>
  <c r="V21" i="15"/>
  <c r="I21" i="15"/>
  <c r="J21" i="15"/>
  <c r="R21" i="15"/>
  <c r="W21" i="15"/>
  <c r="K21" i="15"/>
  <c r="L21" i="15"/>
  <c r="S21" i="15"/>
  <c r="X21" i="15"/>
  <c r="C22" i="15"/>
  <c r="D22" i="15"/>
  <c r="O22" i="15"/>
  <c r="T22" i="15"/>
  <c r="E22" i="15"/>
  <c r="F22" i="15"/>
  <c r="P22" i="15"/>
  <c r="U22" i="15"/>
  <c r="G22" i="15"/>
  <c r="H22" i="15"/>
  <c r="Q22" i="15"/>
  <c r="V22" i="15"/>
  <c r="I22" i="15"/>
  <c r="J22" i="15"/>
  <c r="R22" i="15"/>
  <c r="W22" i="15"/>
  <c r="K22" i="15"/>
  <c r="L22" i="15"/>
  <c r="S22" i="15"/>
  <c r="X22" i="15"/>
  <c r="D23" i="15"/>
  <c r="D24" i="15"/>
  <c r="E23" i="15"/>
  <c r="E24" i="15"/>
  <c r="F23" i="15"/>
  <c r="P23" i="15"/>
  <c r="U23" i="15"/>
  <c r="G23" i="15"/>
  <c r="G24" i="15"/>
  <c r="H23" i="15"/>
  <c r="I23" i="15"/>
  <c r="I24" i="15"/>
  <c r="J23" i="15"/>
  <c r="K23" i="15"/>
  <c r="K24" i="15"/>
  <c r="L23" i="15"/>
  <c r="C25" i="15"/>
  <c r="D25" i="15"/>
  <c r="B13" i="17"/>
  <c r="E25" i="15"/>
  <c r="F25" i="15"/>
  <c r="C13" i="17"/>
  <c r="G25" i="15"/>
  <c r="H25" i="15"/>
  <c r="Q25" i="15"/>
  <c r="V25" i="15"/>
  <c r="I25" i="15"/>
  <c r="J25" i="15"/>
  <c r="R25" i="15"/>
  <c r="W25" i="15"/>
  <c r="K25" i="15"/>
  <c r="L25" i="15"/>
  <c r="C26" i="15"/>
  <c r="D26" i="15"/>
  <c r="O26" i="15"/>
  <c r="T26" i="15"/>
  <c r="E26" i="15"/>
  <c r="F26" i="15"/>
  <c r="P26" i="15"/>
  <c r="U26" i="15"/>
  <c r="G26" i="15"/>
  <c r="H26" i="15"/>
  <c r="Q26" i="15"/>
  <c r="V26" i="15"/>
  <c r="I26" i="15"/>
  <c r="J26" i="15"/>
  <c r="R26" i="15"/>
  <c r="W26" i="15"/>
  <c r="K26" i="15"/>
  <c r="L26" i="15"/>
  <c r="S26" i="15"/>
  <c r="X26" i="15"/>
  <c r="C27" i="15"/>
  <c r="D27" i="15"/>
  <c r="O27" i="15"/>
  <c r="T27" i="15"/>
  <c r="E27" i="15"/>
  <c r="F27" i="15"/>
  <c r="P27" i="15"/>
  <c r="U27" i="15"/>
  <c r="G27" i="15"/>
  <c r="H27" i="15"/>
  <c r="Q27" i="15"/>
  <c r="V27" i="15"/>
  <c r="I27" i="15"/>
  <c r="J27" i="15"/>
  <c r="R27" i="15"/>
  <c r="W27" i="15"/>
  <c r="K27" i="15"/>
  <c r="L27" i="15"/>
  <c r="S27" i="15"/>
  <c r="X27" i="15"/>
  <c r="C28" i="15"/>
  <c r="D28" i="15"/>
  <c r="E28" i="15"/>
  <c r="F28" i="15"/>
  <c r="P28" i="15"/>
  <c r="U28" i="15"/>
  <c r="G28" i="15"/>
  <c r="H28" i="15"/>
  <c r="D16" i="17"/>
  <c r="I28" i="15"/>
  <c r="J28" i="15"/>
  <c r="R28" i="15"/>
  <c r="W28" i="15"/>
  <c r="K28" i="15"/>
  <c r="L28" i="15"/>
  <c r="C29" i="15"/>
  <c r="D29" i="15"/>
  <c r="O29" i="15"/>
  <c r="T29" i="15"/>
  <c r="E29" i="15"/>
  <c r="F29" i="15"/>
  <c r="P29" i="15"/>
  <c r="U29" i="15"/>
  <c r="G29" i="15"/>
  <c r="H29" i="15"/>
  <c r="Q29" i="15"/>
  <c r="V29" i="15"/>
  <c r="I29" i="15"/>
  <c r="J29" i="15"/>
  <c r="R29" i="15"/>
  <c r="W29" i="15"/>
  <c r="K29" i="15"/>
  <c r="L29" i="15"/>
  <c r="S29" i="15"/>
  <c r="X29" i="15"/>
  <c r="C30" i="15"/>
  <c r="D30" i="15"/>
  <c r="O30" i="15"/>
  <c r="T30" i="15"/>
  <c r="E30" i="15"/>
  <c r="F30" i="15"/>
  <c r="C18" i="17"/>
  <c r="G30" i="15"/>
  <c r="H30" i="15"/>
  <c r="Q30" i="15"/>
  <c r="V30" i="15"/>
  <c r="I30" i="15"/>
  <c r="J30" i="15"/>
  <c r="E18" i="17"/>
  <c r="K30" i="15"/>
  <c r="L30" i="15"/>
  <c r="F18" i="17"/>
  <c r="C31" i="15"/>
  <c r="D31" i="15"/>
  <c r="O31" i="15"/>
  <c r="T31" i="15"/>
  <c r="E31" i="15"/>
  <c r="F31" i="15"/>
  <c r="P31" i="15"/>
  <c r="U31" i="15"/>
  <c r="G31" i="15"/>
  <c r="H31" i="15"/>
  <c r="Q31" i="15"/>
  <c r="V31" i="15"/>
  <c r="I31" i="15"/>
  <c r="J31" i="15"/>
  <c r="R31" i="15"/>
  <c r="W31" i="15"/>
  <c r="K31" i="15"/>
  <c r="L31" i="15"/>
  <c r="S31" i="15"/>
  <c r="X31" i="15"/>
  <c r="C32" i="15"/>
  <c r="D32" i="15"/>
  <c r="O32" i="15"/>
  <c r="T32" i="15"/>
  <c r="E32" i="15"/>
  <c r="F32" i="15"/>
  <c r="P32" i="15"/>
  <c r="U32" i="15"/>
  <c r="G32" i="15"/>
  <c r="H32" i="15"/>
  <c r="Q32" i="15"/>
  <c r="V32" i="15"/>
  <c r="I32" i="15"/>
  <c r="J32" i="15"/>
  <c r="R32" i="15"/>
  <c r="W32" i="15"/>
  <c r="K32" i="15"/>
  <c r="L32" i="15"/>
  <c r="S32" i="15"/>
  <c r="X32" i="15"/>
  <c r="C33" i="15"/>
  <c r="D33" i="15"/>
  <c r="O33" i="15"/>
  <c r="T33" i="15"/>
  <c r="E33" i="15"/>
  <c r="F33" i="15"/>
  <c r="P33" i="15"/>
  <c r="U33" i="15"/>
  <c r="G33" i="15"/>
  <c r="H33" i="15"/>
  <c r="Q33" i="15"/>
  <c r="V33" i="15"/>
  <c r="I33" i="15"/>
  <c r="J33" i="15"/>
  <c r="R33" i="15"/>
  <c r="W33" i="15"/>
  <c r="K33" i="15"/>
  <c r="L33" i="15"/>
  <c r="S33" i="15"/>
  <c r="X33" i="15"/>
  <c r="C34" i="15"/>
  <c r="D34" i="15"/>
  <c r="O34" i="15"/>
  <c r="T34" i="15"/>
  <c r="E34" i="15"/>
  <c r="F34" i="15"/>
  <c r="P34" i="15"/>
  <c r="U34" i="15"/>
  <c r="G34" i="15"/>
  <c r="H34" i="15"/>
  <c r="Q34" i="15"/>
  <c r="V34" i="15"/>
  <c r="I34" i="15"/>
  <c r="J34" i="15"/>
  <c r="R34" i="15"/>
  <c r="W34" i="15"/>
  <c r="K34" i="15"/>
  <c r="L34" i="15"/>
  <c r="S34" i="15"/>
  <c r="X34" i="15"/>
  <c r="C35" i="15"/>
  <c r="D35" i="15"/>
  <c r="O35" i="15"/>
  <c r="T35" i="15"/>
  <c r="E35" i="15"/>
  <c r="F35" i="15"/>
  <c r="G35" i="15"/>
  <c r="H35" i="15"/>
  <c r="Q35" i="15"/>
  <c r="V35" i="15"/>
  <c r="I35" i="15"/>
  <c r="J35" i="15"/>
  <c r="R35" i="15"/>
  <c r="W35" i="15"/>
  <c r="K35" i="15"/>
  <c r="L35" i="15"/>
  <c r="F23" i="17"/>
  <c r="C36" i="15"/>
  <c r="D36" i="15"/>
  <c r="O36" i="15"/>
  <c r="T36" i="15"/>
  <c r="E36" i="15"/>
  <c r="F36" i="15"/>
  <c r="P36" i="15"/>
  <c r="U36" i="15"/>
  <c r="G36" i="15"/>
  <c r="H36" i="15"/>
  <c r="Q36" i="15"/>
  <c r="V36" i="15"/>
  <c r="I36" i="15"/>
  <c r="J36" i="15"/>
  <c r="R36" i="15"/>
  <c r="W36" i="15"/>
  <c r="K36" i="15"/>
  <c r="L36" i="15"/>
  <c r="S36" i="15"/>
  <c r="X36" i="15"/>
  <c r="C37" i="15"/>
  <c r="C38" i="15"/>
  <c r="D37" i="15"/>
  <c r="E37" i="15"/>
  <c r="E38" i="15"/>
  <c r="F37" i="15"/>
  <c r="P37" i="15"/>
  <c r="U37" i="15"/>
  <c r="G37" i="15"/>
  <c r="G38" i="15"/>
  <c r="H37" i="15"/>
  <c r="H38" i="15"/>
  <c r="D24" i="17"/>
  <c r="I37" i="15"/>
  <c r="I38" i="15"/>
  <c r="J37" i="15"/>
  <c r="K37" i="15"/>
  <c r="K38" i="15"/>
  <c r="L37" i="15"/>
  <c r="L38" i="15"/>
  <c r="F24" i="17"/>
  <c r="C39" i="15"/>
  <c r="D39" i="15"/>
  <c r="O39" i="15"/>
  <c r="T39" i="15"/>
  <c r="E39" i="15"/>
  <c r="F39" i="15"/>
  <c r="P39" i="15"/>
  <c r="U39" i="15"/>
  <c r="G39" i="15"/>
  <c r="H39" i="15"/>
  <c r="Q39" i="15"/>
  <c r="V39" i="15"/>
  <c r="I39" i="15"/>
  <c r="J39" i="15"/>
  <c r="R39" i="15"/>
  <c r="W39" i="15"/>
  <c r="K39" i="15"/>
  <c r="L39" i="15"/>
  <c r="S39" i="15"/>
  <c r="X39" i="15"/>
  <c r="C40" i="15"/>
  <c r="C41" i="15"/>
  <c r="D40" i="15"/>
  <c r="D41" i="15"/>
  <c r="B25" i="17"/>
  <c r="E40" i="15"/>
  <c r="E41" i="15"/>
  <c r="F40" i="15"/>
  <c r="P40" i="15"/>
  <c r="U40" i="15"/>
  <c r="G40" i="15"/>
  <c r="G41" i="15"/>
  <c r="H40" i="15"/>
  <c r="H41" i="15"/>
  <c r="D25" i="17"/>
  <c r="I40" i="15"/>
  <c r="I41" i="15"/>
  <c r="J40" i="15"/>
  <c r="J41" i="15"/>
  <c r="E25" i="17"/>
  <c r="R40" i="15"/>
  <c r="W40" i="15"/>
  <c r="K40" i="15"/>
  <c r="K41" i="15"/>
  <c r="L40" i="15"/>
  <c r="L41" i="15"/>
  <c r="F25" i="17"/>
  <c r="C42" i="15"/>
  <c r="C46" i="15"/>
  <c r="C43" i="15"/>
  <c r="D43" i="15"/>
  <c r="O43" i="15"/>
  <c r="T43" i="15"/>
  <c r="E43" i="15"/>
  <c r="F43" i="15"/>
  <c r="P43" i="15"/>
  <c r="U43" i="15"/>
  <c r="G43" i="15"/>
  <c r="H43" i="15"/>
  <c r="Q43" i="15"/>
  <c r="V43" i="15"/>
  <c r="I43" i="15"/>
  <c r="J43" i="15"/>
  <c r="R43" i="15"/>
  <c r="W43" i="15"/>
  <c r="K43" i="15"/>
  <c r="L43" i="15"/>
  <c r="S43" i="15"/>
  <c r="X43" i="15"/>
  <c r="C44" i="15"/>
  <c r="D44" i="15"/>
  <c r="O44" i="15"/>
  <c r="T44" i="15"/>
  <c r="E44" i="15"/>
  <c r="F44" i="15"/>
  <c r="P44" i="15"/>
  <c r="U44" i="15"/>
  <c r="G44" i="15"/>
  <c r="H44" i="15"/>
  <c r="Q44" i="15"/>
  <c r="V44" i="15"/>
  <c r="I44" i="15"/>
  <c r="J44" i="15"/>
  <c r="R44" i="15"/>
  <c r="W44" i="15"/>
  <c r="K44" i="15"/>
  <c r="L44" i="15"/>
  <c r="S44" i="15"/>
  <c r="X44" i="15"/>
  <c r="C45" i="15"/>
  <c r="D45" i="15"/>
  <c r="O45" i="15"/>
  <c r="T45" i="15"/>
  <c r="E45" i="15"/>
  <c r="F45" i="15"/>
  <c r="P45" i="15"/>
  <c r="U45" i="15"/>
  <c r="G45" i="15"/>
  <c r="H45" i="15"/>
  <c r="Q45" i="15"/>
  <c r="V45" i="15"/>
  <c r="I45" i="15"/>
  <c r="J45" i="15"/>
  <c r="R45" i="15"/>
  <c r="W45" i="15"/>
  <c r="K45" i="15"/>
  <c r="L45" i="15"/>
  <c r="S45" i="15"/>
  <c r="X45" i="15"/>
  <c r="C47" i="15"/>
  <c r="D47" i="15"/>
  <c r="O47" i="15"/>
  <c r="T47" i="15"/>
  <c r="E47" i="15"/>
  <c r="F47" i="15"/>
  <c r="P47" i="15"/>
  <c r="U47" i="15"/>
  <c r="G47" i="15"/>
  <c r="H47" i="15"/>
  <c r="Q47" i="15"/>
  <c r="V47" i="15"/>
  <c r="I47" i="15"/>
  <c r="J47" i="15"/>
  <c r="R47" i="15"/>
  <c r="W47" i="15"/>
  <c r="K47" i="15"/>
  <c r="L47" i="15"/>
  <c r="S47" i="15"/>
  <c r="X47" i="15"/>
  <c r="C48" i="15"/>
  <c r="C49" i="15"/>
  <c r="D48" i="15"/>
  <c r="O48" i="15"/>
  <c r="T48" i="15"/>
  <c r="E48" i="15"/>
  <c r="E49" i="15"/>
  <c r="F48" i="15"/>
  <c r="P48" i="15"/>
  <c r="U48" i="15"/>
  <c r="G48" i="15"/>
  <c r="G49" i="15"/>
  <c r="H48" i="15"/>
  <c r="H49" i="15"/>
  <c r="D27" i="17"/>
  <c r="I48" i="15"/>
  <c r="I49" i="15"/>
  <c r="J48" i="15"/>
  <c r="R48" i="15"/>
  <c r="W48" i="15"/>
  <c r="K48" i="15"/>
  <c r="K49" i="15"/>
  <c r="L48" i="15"/>
  <c r="C50" i="15"/>
  <c r="D50" i="15"/>
  <c r="E50" i="15"/>
  <c r="F50" i="15"/>
  <c r="G50" i="15"/>
  <c r="H50" i="15"/>
  <c r="D28" i="17"/>
  <c r="I50" i="15"/>
  <c r="J50" i="15"/>
  <c r="R50" i="15"/>
  <c r="W50" i="15"/>
  <c r="K50" i="15"/>
  <c r="L50" i="15"/>
  <c r="C51" i="15"/>
  <c r="D51" i="15"/>
  <c r="O51" i="15"/>
  <c r="T51" i="15"/>
  <c r="E51" i="15"/>
  <c r="F51" i="15"/>
  <c r="C29" i="17"/>
  <c r="G51" i="15"/>
  <c r="H51" i="15"/>
  <c r="D29" i="17"/>
  <c r="I51" i="15"/>
  <c r="J51" i="15"/>
  <c r="R51" i="15"/>
  <c r="W51" i="15"/>
  <c r="K51" i="15"/>
  <c r="L51" i="15"/>
  <c r="S51" i="15"/>
  <c r="X51" i="15"/>
  <c r="C52" i="15"/>
  <c r="D52" i="15"/>
  <c r="E52" i="15"/>
  <c r="F52" i="15"/>
  <c r="P52" i="15"/>
  <c r="U52" i="15"/>
  <c r="G52" i="15"/>
  <c r="H52" i="15"/>
  <c r="D31" i="17"/>
  <c r="I52" i="15"/>
  <c r="J52" i="15"/>
  <c r="K52" i="15"/>
  <c r="L52" i="15"/>
  <c r="C53" i="15"/>
  <c r="D53" i="15"/>
  <c r="O53" i="15"/>
  <c r="T53" i="15"/>
  <c r="E53" i="15"/>
  <c r="F53" i="15"/>
  <c r="G53" i="15"/>
  <c r="H53" i="15"/>
  <c r="D32" i="17"/>
  <c r="I53" i="15"/>
  <c r="J53" i="15"/>
  <c r="K53" i="15"/>
  <c r="L53" i="15"/>
  <c r="S53" i="15"/>
  <c r="X53" i="15"/>
  <c r="C54" i="15"/>
  <c r="D54" i="15"/>
  <c r="E54" i="15"/>
  <c r="F54" i="15"/>
  <c r="C33" i="17"/>
  <c r="G54" i="15"/>
  <c r="H54" i="15"/>
  <c r="Q54" i="15"/>
  <c r="V54" i="15"/>
  <c r="I54" i="15"/>
  <c r="J54" i="15"/>
  <c r="R54" i="15"/>
  <c r="W54" i="15"/>
  <c r="K54" i="15"/>
  <c r="L54" i="15"/>
  <c r="F33" i="17"/>
  <c r="C55" i="15"/>
  <c r="E55" i="15"/>
  <c r="F55" i="15"/>
  <c r="C34" i="17"/>
  <c r="G55" i="15"/>
  <c r="I55" i="15"/>
  <c r="J55" i="15"/>
  <c r="E34" i="17"/>
  <c r="K55" i="15"/>
  <c r="C56" i="15"/>
  <c r="D56" i="15"/>
  <c r="O56" i="15"/>
  <c r="T56" i="15"/>
  <c r="E56" i="15"/>
  <c r="F56" i="15"/>
  <c r="P56" i="15"/>
  <c r="U56" i="15"/>
  <c r="G56" i="15"/>
  <c r="H56" i="15"/>
  <c r="Q56" i="15"/>
  <c r="V56" i="15"/>
  <c r="I56" i="15"/>
  <c r="J56" i="15"/>
  <c r="R56" i="15"/>
  <c r="W56" i="15"/>
  <c r="K56" i="15"/>
  <c r="L56" i="15"/>
  <c r="S56" i="15"/>
  <c r="X56" i="15"/>
  <c r="C57" i="15"/>
  <c r="D57" i="15"/>
  <c r="O57" i="15"/>
  <c r="T57" i="15"/>
  <c r="E57" i="15"/>
  <c r="F57" i="15"/>
  <c r="P57" i="15"/>
  <c r="U57" i="15"/>
  <c r="G57" i="15"/>
  <c r="H57" i="15"/>
  <c r="Q57" i="15"/>
  <c r="V57" i="15"/>
  <c r="I57" i="15"/>
  <c r="J57" i="15"/>
  <c r="R57" i="15"/>
  <c r="W57" i="15"/>
  <c r="K57" i="15"/>
  <c r="L57" i="15"/>
  <c r="S57" i="15"/>
  <c r="X57" i="15"/>
  <c r="C58" i="15"/>
  <c r="D58" i="15"/>
  <c r="O58" i="15"/>
  <c r="T58" i="15"/>
  <c r="E58" i="15"/>
  <c r="F58" i="15"/>
  <c r="P58" i="15"/>
  <c r="U58" i="15"/>
  <c r="G58" i="15"/>
  <c r="H58" i="15"/>
  <c r="Q58" i="15"/>
  <c r="V58" i="15"/>
  <c r="I58" i="15"/>
  <c r="J58" i="15"/>
  <c r="R58" i="15"/>
  <c r="W58" i="15"/>
  <c r="K58" i="15"/>
  <c r="L58" i="15"/>
  <c r="S58" i="15"/>
  <c r="X58" i="15"/>
  <c r="C59" i="15"/>
  <c r="D59" i="15"/>
  <c r="O59" i="15"/>
  <c r="T59" i="15"/>
  <c r="E59" i="15"/>
  <c r="F59" i="15"/>
  <c r="P59" i="15"/>
  <c r="U59" i="15"/>
  <c r="G59" i="15"/>
  <c r="H59" i="15"/>
  <c r="Q59" i="15"/>
  <c r="V59" i="15"/>
  <c r="I59" i="15"/>
  <c r="J59" i="15"/>
  <c r="R59" i="15"/>
  <c r="W59" i="15"/>
  <c r="K59" i="15"/>
  <c r="L59" i="15"/>
  <c r="S59" i="15"/>
  <c r="X59" i="15"/>
  <c r="C60" i="15"/>
  <c r="D60" i="15"/>
  <c r="O60" i="15"/>
  <c r="T60" i="15"/>
  <c r="E60" i="15"/>
  <c r="F60" i="15"/>
  <c r="P60" i="15"/>
  <c r="U60" i="15"/>
  <c r="G60" i="15"/>
  <c r="H60" i="15"/>
  <c r="Q60" i="15"/>
  <c r="V60" i="15"/>
  <c r="I60" i="15"/>
  <c r="J60" i="15"/>
  <c r="R60" i="15"/>
  <c r="W60" i="15"/>
  <c r="K60" i="15"/>
  <c r="L60" i="15"/>
  <c r="S60" i="15"/>
  <c r="X60" i="15"/>
  <c r="C61" i="15"/>
  <c r="D61" i="15"/>
  <c r="O61" i="15"/>
  <c r="E61" i="15"/>
  <c r="F61" i="15"/>
  <c r="C40" i="17"/>
  <c r="G61" i="15"/>
  <c r="H61" i="15"/>
  <c r="Q61" i="15"/>
  <c r="V61" i="15"/>
  <c r="I61" i="15"/>
  <c r="J61" i="15"/>
  <c r="R61" i="15"/>
  <c r="W61" i="15"/>
  <c r="K61" i="15"/>
  <c r="L61" i="15"/>
  <c r="S61" i="15"/>
  <c r="C62" i="15"/>
  <c r="D62" i="15"/>
  <c r="E62" i="15"/>
  <c r="F62" i="15"/>
  <c r="G62" i="15"/>
  <c r="H62" i="15"/>
  <c r="D41" i="17"/>
  <c r="I62" i="15"/>
  <c r="J62" i="15"/>
  <c r="E41" i="17"/>
  <c r="K62" i="15"/>
  <c r="L62" i="15"/>
  <c r="S62" i="15"/>
  <c r="X62" i="15"/>
  <c r="C63" i="15"/>
  <c r="D63" i="15"/>
  <c r="O63" i="15"/>
  <c r="T63" i="15"/>
  <c r="E63" i="15"/>
  <c r="F63" i="15"/>
  <c r="P63" i="15"/>
  <c r="U63" i="15"/>
  <c r="G63" i="15"/>
  <c r="H63" i="15"/>
  <c r="Q63" i="15"/>
  <c r="V63" i="15"/>
  <c r="I63" i="15"/>
  <c r="J63" i="15"/>
  <c r="R63" i="15"/>
  <c r="W63" i="15"/>
  <c r="K63" i="15"/>
  <c r="L63" i="15"/>
  <c r="S63" i="15"/>
  <c r="X63" i="15"/>
  <c r="C64" i="15"/>
  <c r="D64" i="15"/>
  <c r="O64" i="15"/>
  <c r="T64" i="15"/>
  <c r="E64" i="15"/>
  <c r="F64" i="15"/>
  <c r="P64" i="15"/>
  <c r="U64" i="15"/>
  <c r="G64" i="15"/>
  <c r="H64" i="15"/>
  <c r="Q64" i="15"/>
  <c r="V64" i="15"/>
  <c r="I64" i="15"/>
  <c r="J64" i="15"/>
  <c r="R64" i="15"/>
  <c r="W64" i="15"/>
  <c r="K64" i="15"/>
  <c r="L64" i="15"/>
  <c r="S64" i="15"/>
  <c r="X64" i="15"/>
  <c r="C65" i="15"/>
  <c r="D65" i="15"/>
  <c r="O65" i="15"/>
  <c r="T65" i="15"/>
  <c r="E65" i="15"/>
  <c r="F65" i="15"/>
  <c r="P65" i="15"/>
  <c r="U65" i="15"/>
  <c r="G65" i="15"/>
  <c r="H65" i="15"/>
  <c r="Q65" i="15"/>
  <c r="V65" i="15"/>
  <c r="I65" i="15"/>
  <c r="J65" i="15"/>
  <c r="R65" i="15"/>
  <c r="W65" i="15"/>
  <c r="K65" i="15"/>
  <c r="L65" i="15"/>
  <c r="S65" i="15"/>
  <c r="X65" i="15"/>
  <c r="C66" i="15"/>
  <c r="C67" i="15"/>
  <c r="D66" i="15"/>
  <c r="O66" i="15"/>
  <c r="T66" i="15"/>
  <c r="E66" i="15"/>
  <c r="E67" i="15"/>
  <c r="F66" i="15"/>
  <c r="G66" i="15"/>
  <c r="G67" i="15"/>
  <c r="H66" i="15"/>
  <c r="Q66" i="15"/>
  <c r="V66" i="15"/>
  <c r="I66" i="15"/>
  <c r="I67" i="15"/>
  <c r="J66" i="15"/>
  <c r="R66" i="15"/>
  <c r="W66" i="15"/>
  <c r="K66" i="15"/>
  <c r="K67" i="15"/>
  <c r="L66" i="15"/>
  <c r="S66" i="15"/>
  <c r="X66" i="15"/>
  <c r="C68" i="15"/>
  <c r="D68" i="15"/>
  <c r="O68" i="15"/>
  <c r="T68" i="15"/>
  <c r="E68" i="15"/>
  <c r="F68" i="15"/>
  <c r="P68" i="15"/>
  <c r="U68" i="15"/>
  <c r="G68" i="15"/>
  <c r="H68" i="15"/>
  <c r="Q68" i="15"/>
  <c r="V68" i="15"/>
  <c r="I68" i="15"/>
  <c r="J68" i="15"/>
  <c r="R68" i="15"/>
  <c r="W68" i="15"/>
  <c r="K68" i="15"/>
  <c r="L68" i="15"/>
  <c r="S68" i="15"/>
  <c r="X68" i="15"/>
  <c r="C69" i="15"/>
  <c r="D69" i="15"/>
  <c r="O69" i="15"/>
  <c r="T69" i="15"/>
  <c r="E69" i="15"/>
  <c r="F69" i="15"/>
  <c r="P69" i="15"/>
  <c r="U69" i="15"/>
  <c r="G69" i="15"/>
  <c r="H69" i="15"/>
  <c r="Q69" i="15"/>
  <c r="V69" i="15"/>
  <c r="I69" i="15"/>
  <c r="J69" i="15"/>
  <c r="R69" i="15"/>
  <c r="W69" i="15"/>
  <c r="K69" i="15"/>
  <c r="L69" i="15"/>
  <c r="S69" i="15"/>
  <c r="X69" i="15"/>
  <c r="C70" i="15"/>
  <c r="C72" i="15"/>
  <c r="D70" i="15"/>
  <c r="O70" i="15"/>
  <c r="T70" i="15"/>
  <c r="E70" i="15"/>
  <c r="E72" i="15"/>
  <c r="F70" i="15"/>
  <c r="G70" i="15"/>
  <c r="G72" i="15"/>
  <c r="H70" i="15"/>
  <c r="Q70" i="15"/>
  <c r="V70" i="15"/>
  <c r="I70" i="15"/>
  <c r="I72" i="15"/>
  <c r="J70" i="15"/>
  <c r="J72" i="15"/>
  <c r="E45" i="17"/>
  <c r="K70" i="15"/>
  <c r="K72" i="15"/>
  <c r="L70" i="15"/>
  <c r="L72" i="15"/>
  <c r="F45" i="17"/>
  <c r="C71" i="15"/>
  <c r="D71" i="15"/>
  <c r="O71" i="15"/>
  <c r="T71" i="15"/>
  <c r="E71" i="15"/>
  <c r="F71" i="15"/>
  <c r="P71" i="15"/>
  <c r="U71" i="15"/>
  <c r="G71" i="15"/>
  <c r="H71" i="15"/>
  <c r="Q71" i="15"/>
  <c r="V71" i="15"/>
  <c r="I71" i="15"/>
  <c r="J71" i="15"/>
  <c r="R71" i="15"/>
  <c r="W71" i="15"/>
  <c r="K71" i="15"/>
  <c r="L71" i="15"/>
  <c r="S71" i="15"/>
  <c r="X71" i="15"/>
  <c r="C73" i="15"/>
  <c r="C77" i="15"/>
  <c r="C74" i="15"/>
  <c r="D74" i="15"/>
  <c r="O74" i="15"/>
  <c r="T74" i="15"/>
  <c r="E74" i="15"/>
  <c r="F74" i="15"/>
  <c r="P74" i="15"/>
  <c r="U74" i="15"/>
  <c r="G74" i="15"/>
  <c r="H74" i="15"/>
  <c r="Q74" i="15"/>
  <c r="V74" i="15"/>
  <c r="I74" i="15"/>
  <c r="J74" i="15"/>
  <c r="R74" i="15"/>
  <c r="W74" i="15"/>
  <c r="K74" i="15"/>
  <c r="L74" i="15"/>
  <c r="S74" i="15"/>
  <c r="X74" i="15"/>
  <c r="C75" i="15"/>
  <c r="C78" i="15"/>
  <c r="D75" i="15"/>
  <c r="E75" i="15"/>
  <c r="E78" i="15"/>
  <c r="F75" i="15"/>
  <c r="F78" i="15"/>
  <c r="C47" i="17"/>
  <c r="P75" i="15"/>
  <c r="U75" i="15"/>
  <c r="G75" i="15"/>
  <c r="G78" i="15"/>
  <c r="H75" i="15"/>
  <c r="Q75" i="15"/>
  <c r="V75" i="15"/>
  <c r="I75" i="15"/>
  <c r="I78" i="15"/>
  <c r="J75" i="15"/>
  <c r="K75" i="15"/>
  <c r="K78" i="15"/>
  <c r="L75" i="15"/>
  <c r="C76" i="15"/>
  <c r="D76" i="15"/>
  <c r="O76" i="15"/>
  <c r="T76" i="15"/>
  <c r="E76" i="15"/>
  <c r="F76" i="15"/>
  <c r="P76" i="15"/>
  <c r="U76" i="15"/>
  <c r="G76" i="15"/>
  <c r="H76" i="15"/>
  <c r="Q76" i="15"/>
  <c r="V76" i="15"/>
  <c r="I76" i="15"/>
  <c r="J76" i="15"/>
  <c r="R76" i="15"/>
  <c r="W76" i="15"/>
  <c r="K76" i="15"/>
  <c r="L76" i="15"/>
  <c r="S76" i="15"/>
  <c r="X76" i="15"/>
  <c r="C79" i="15"/>
  <c r="C86" i="15"/>
  <c r="C80" i="15"/>
  <c r="C87" i="15"/>
  <c r="I80" i="15"/>
  <c r="I87" i="15"/>
  <c r="C81" i="15"/>
  <c r="D81" i="15"/>
  <c r="O81" i="15"/>
  <c r="T81" i="15"/>
  <c r="E81" i="15"/>
  <c r="F81" i="15"/>
  <c r="P81" i="15"/>
  <c r="U81" i="15"/>
  <c r="G81" i="15"/>
  <c r="H81" i="15"/>
  <c r="Q81" i="15"/>
  <c r="V81" i="15"/>
  <c r="I81" i="15"/>
  <c r="J81" i="15"/>
  <c r="R81" i="15"/>
  <c r="W81" i="15"/>
  <c r="K81" i="15"/>
  <c r="L81" i="15"/>
  <c r="S81" i="15"/>
  <c r="X81" i="15"/>
  <c r="C82" i="15"/>
  <c r="C88" i="15"/>
  <c r="C83" i="15"/>
  <c r="D83" i="15"/>
  <c r="O83" i="15"/>
  <c r="T83" i="15"/>
  <c r="E83" i="15"/>
  <c r="F83" i="15"/>
  <c r="P83" i="15"/>
  <c r="U83" i="15"/>
  <c r="G83" i="15"/>
  <c r="H83" i="15"/>
  <c r="Q83" i="15"/>
  <c r="V83" i="15"/>
  <c r="I83" i="15"/>
  <c r="J83" i="15"/>
  <c r="R83" i="15"/>
  <c r="W83" i="15"/>
  <c r="K83" i="15"/>
  <c r="L83" i="15"/>
  <c r="S83" i="15"/>
  <c r="X83" i="15"/>
  <c r="C84" i="15"/>
  <c r="C89" i="15"/>
  <c r="D84" i="15"/>
  <c r="O84" i="15"/>
  <c r="T84" i="15"/>
  <c r="E84" i="15"/>
  <c r="E89" i="15"/>
  <c r="F84" i="15"/>
  <c r="F89" i="15"/>
  <c r="C51" i="17"/>
  <c r="G84" i="15"/>
  <c r="G89" i="15"/>
  <c r="H84" i="15"/>
  <c r="Q84" i="15"/>
  <c r="V84" i="15"/>
  <c r="I84" i="15"/>
  <c r="I89" i="15"/>
  <c r="J84" i="15"/>
  <c r="R84" i="15"/>
  <c r="W84" i="15"/>
  <c r="K84" i="15"/>
  <c r="K89" i="15"/>
  <c r="L84" i="15"/>
  <c r="L89" i="15"/>
  <c r="F51" i="17"/>
  <c r="C85" i="15"/>
  <c r="D85" i="15"/>
  <c r="O85" i="15"/>
  <c r="T85" i="15"/>
  <c r="E85" i="15"/>
  <c r="F85" i="15"/>
  <c r="P85" i="15"/>
  <c r="U85" i="15"/>
  <c r="G85" i="15"/>
  <c r="H85" i="15"/>
  <c r="Q85" i="15"/>
  <c r="V85" i="15"/>
  <c r="I85" i="15"/>
  <c r="J85" i="15"/>
  <c r="R85" i="15"/>
  <c r="W85" i="15"/>
  <c r="K85" i="15"/>
  <c r="L85" i="15"/>
  <c r="S85" i="15"/>
  <c r="X85" i="15"/>
  <c r="C90" i="15"/>
  <c r="D90" i="15"/>
  <c r="O90" i="15"/>
  <c r="T90" i="15"/>
  <c r="E90" i="15"/>
  <c r="F90" i="15"/>
  <c r="P90" i="15"/>
  <c r="U90" i="15"/>
  <c r="G90" i="15"/>
  <c r="H90" i="15"/>
  <c r="Q90" i="15"/>
  <c r="V90" i="15"/>
  <c r="I90" i="15"/>
  <c r="J90" i="15"/>
  <c r="R90" i="15"/>
  <c r="W90" i="15"/>
  <c r="K90" i="15"/>
  <c r="L90" i="15"/>
  <c r="S90" i="15"/>
  <c r="X90" i="15"/>
  <c r="C91" i="15"/>
  <c r="D91" i="15"/>
  <c r="O91" i="15"/>
  <c r="T91" i="15"/>
  <c r="E91" i="15"/>
  <c r="F91" i="15"/>
  <c r="P91" i="15"/>
  <c r="U91" i="15"/>
  <c r="G91" i="15"/>
  <c r="H91" i="15"/>
  <c r="Q91" i="15"/>
  <c r="V91" i="15"/>
  <c r="I91" i="15"/>
  <c r="J91" i="15"/>
  <c r="R91" i="15"/>
  <c r="W91" i="15"/>
  <c r="K91" i="15"/>
  <c r="L91" i="15"/>
  <c r="S91" i="15"/>
  <c r="X91" i="15"/>
  <c r="C92" i="15"/>
  <c r="C93" i="15"/>
  <c r="D92" i="15"/>
  <c r="D93" i="15"/>
  <c r="B52" i="17"/>
  <c r="E92" i="15"/>
  <c r="E93" i="15"/>
  <c r="F92" i="15"/>
  <c r="F93" i="15"/>
  <c r="C52" i="17"/>
  <c r="G92" i="15"/>
  <c r="G93" i="15"/>
  <c r="H92" i="15"/>
  <c r="H93" i="15"/>
  <c r="D52" i="17"/>
  <c r="I92" i="15"/>
  <c r="I93" i="15"/>
  <c r="J92" i="15"/>
  <c r="J93" i="15"/>
  <c r="E52" i="17"/>
  <c r="K92" i="15"/>
  <c r="K93" i="15"/>
  <c r="L92" i="15"/>
  <c r="S92" i="15"/>
  <c r="X92" i="15"/>
  <c r="C94" i="15"/>
  <c r="C98" i="15"/>
  <c r="I94" i="15"/>
  <c r="I98" i="15"/>
  <c r="K94" i="15"/>
  <c r="K98" i="15"/>
  <c r="C95" i="15"/>
  <c r="D95" i="15"/>
  <c r="O95" i="15"/>
  <c r="T95" i="15"/>
  <c r="E95" i="15"/>
  <c r="F95" i="15"/>
  <c r="P95" i="15"/>
  <c r="U95" i="15"/>
  <c r="G95" i="15"/>
  <c r="H95" i="15"/>
  <c r="Q95" i="15"/>
  <c r="V95" i="15"/>
  <c r="I95" i="15"/>
  <c r="J95" i="15"/>
  <c r="R95" i="15"/>
  <c r="W95" i="15"/>
  <c r="K95" i="15"/>
  <c r="L95" i="15"/>
  <c r="S95" i="15"/>
  <c r="X95" i="15"/>
  <c r="C96" i="15"/>
  <c r="D96" i="15"/>
  <c r="O96" i="15"/>
  <c r="T96" i="15"/>
  <c r="E96" i="15"/>
  <c r="F96" i="15"/>
  <c r="P96" i="15"/>
  <c r="U96" i="15"/>
  <c r="G96" i="15"/>
  <c r="H96" i="15"/>
  <c r="Q96" i="15"/>
  <c r="V96" i="15"/>
  <c r="I96" i="15"/>
  <c r="J96" i="15"/>
  <c r="R96" i="15"/>
  <c r="W96" i="15"/>
  <c r="K96" i="15"/>
  <c r="L96" i="15"/>
  <c r="S96" i="15"/>
  <c r="X96" i="15"/>
  <c r="C97" i="15"/>
  <c r="D97" i="15"/>
  <c r="O97" i="15"/>
  <c r="T97" i="15"/>
  <c r="E97" i="15"/>
  <c r="F97" i="15"/>
  <c r="P97" i="15"/>
  <c r="U97" i="15"/>
  <c r="G97" i="15"/>
  <c r="H97" i="15"/>
  <c r="Q97" i="15"/>
  <c r="V97" i="15"/>
  <c r="I97" i="15"/>
  <c r="J97" i="15"/>
  <c r="R97" i="15"/>
  <c r="W97" i="15"/>
  <c r="K97" i="15"/>
  <c r="L97" i="15"/>
  <c r="S97" i="15"/>
  <c r="X97" i="15"/>
  <c r="C99" i="15"/>
  <c r="C105" i="15"/>
  <c r="G99" i="15"/>
  <c r="G105" i="15"/>
  <c r="C100" i="15"/>
  <c r="C106" i="15"/>
  <c r="C101" i="15"/>
  <c r="C107" i="15"/>
  <c r="C102" i="15"/>
  <c r="D102" i="15"/>
  <c r="O102" i="15"/>
  <c r="T102" i="15"/>
  <c r="E102" i="15"/>
  <c r="F102" i="15"/>
  <c r="P102" i="15"/>
  <c r="U102" i="15"/>
  <c r="G102" i="15"/>
  <c r="H102" i="15"/>
  <c r="Q102" i="15"/>
  <c r="V102" i="15"/>
  <c r="I102" i="15"/>
  <c r="J102" i="15"/>
  <c r="R102" i="15"/>
  <c r="W102" i="15"/>
  <c r="K102" i="15"/>
  <c r="L102" i="15"/>
  <c r="S102" i="15"/>
  <c r="X102" i="15"/>
  <c r="C103" i="15"/>
  <c r="D103" i="15"/>
  <c r="O103" i="15"/>
  <c r="T103" i="15"/>
  <c r="E103" i="15"/>
  <c r="F103" i="15"/>
  <c r="P103" i="15"/>
  <c r="U103" i="15"/>
  <c r="G103" i="15"/>
  <c r="H103" i="15"/>
  <c r="Q103" i="15"/>
  <c r="V103" i="15"/>
  <c r="I103" i="15"/>
  <c r="J103" i="15"/>
  <c r="R103" i="15"/>
  <c r="W103" i="15"/>
  <c r="K103" i="15"/>
  <c r="L103" i="15"/>
  <c r="S103" i="15"/>
  <c r="X103" i="15"/>
  <c r="C104" i="15"/>
  <c r="D104" i="15"/>
  <c r="O104" i="15"/>
  <c r="T104" i="15"/>
  <c r="E104" i="15"/>
  <c r="F104" i="15"/>
  <c r="P104" i="15"/>
  <c r="U104" i="15"/>
  <c r="G104" i="15"/>
  <c r="H104" i="15"/>
  <c r="Q104" i="15"/>
  <c r="V104" i="15"/>
  <c r="I104" i="15"/>
  <c r="J104" i="15"/>
  <c r="R104" i="15"/>
  <c r="W104" i="15"/>
  <c r="K104" i="15"/>
  <c r="L104" i="15"/>
  <c r="S104" i="15"/>
  <c r="X104" i="15"/>
  <c r="C109" i="15"/>
  <c r="D109" i="15"/>
  <c r="O109" i="15"/>
  <c r="T109" i="15"/>
  <c r="E109" i="15"/>
  <c r="F109" i="15"/>
  <c r="P109" i="15"/>
  <c r="U109" i="15"/>
  <c r="G109" i="15"/>
  <c r="H109" i="15"/>
  <c r="Q109" i="15"/>
  <c r="V109" i="15"/>
  <c r="I109" i="15"/>
  <c r="J109" i="15"/>
  <c r="R109" i="15"/>
  <c r="W109" i="15"/>
  <c r="K109" i="15"/>
  <c r="L109" i="15"/>
  <c r="S109" i="15"/>
  <c r="X109" i="15"/>
  <c r="C110" i="15"/>
  <c r="C111" i="15"/>
  <c r="D110" i="15"/>
  <c r="E110" i="15"/>
  <c r="E111" i="15"/>
  <c r="F110" i="15"/>
  <c r="F111" i="15"/>
  <c r="C58" i="17"/>
  <c r="G110" i="15"/>
  <c r="G111" i="15"/>
  <c r="H110" i="15"/>
  <c r="I110" i="15"/>
  <c r="I111" i="15"/>
  <c r="J110" i="15"/>
  <c r="J111" i="15"/>
  <c r="E58" i="17"/>
  <c r="K110" i="15"/>
  <c r="K111" i="15"/>
  <c r="L110" i="15"/>
  <c r="C112" i="15"/>
  <c r="D112" i="15"/>
  <c r="O112" i="15"/>
  <c r="T112" i="15"/>
  <c r="E112" i="15"/>
  <c r="F112" i="15"/>
  <c r="P112" i="15"/>
  <c r="U112" i="15"/>
  <c r="G112" i="15"/>
  <c r="H112" i="15"/>
  <c r="Q112" i="15"/>
  <c r="V112" i="15"/>
  <c r="I112" i="15"/>
  <c r="J112" i="15"/>
  <c r="R112" i="15"/>
  <c r="W112" i="15"/>
  <c r="K112" i="15"/>
  <c r="L112" i="15"/>
  <c r="S112" i="15"/>
  <c r="X112" i="15"/>
  <c r="C113" i="15"/>
  <c r="D113" i="15"/>
  <c r="O113" i="15"/>
  <c r="T113" i="15"/>
  <c r="E113" i="15"/>
  <c r="F113" i="15"/>
  <c r="P113" i="15"/>
  <c r="U113" i="15"/>
  <c r="G113" i="15"/>
  <c r="H113" i="15"/>
  <c r="Q113" i="15"/>
  <c r="V113" i="15"/>
  <c r="I113" i="15"/>
  <c r="J113" i="15"/>
  <c r="R113" i="15"/>
  <c r="W113" i="15"/>
  <c r="K113" i="15"/>
  <c r="L113" i="15"/>
  <c r="S113" i="15"/>
  <c r="X113" i="15"/>
  <c r="C114" i="15"/>
  <c r="D114" i="15"/>
  <c r="O114" i="15"/>
  <c r="T114" i="15"/>
  <c r="E114" i="15"/>
  <c r="F114" i="15"/>
  <c r="P114" i="15"/>
  <c r="U114" i="15"/>
  <c r="G114" i="15"/>
  <c r="H114" i="15"/>
  <c r="D61" i="17"/>
  <c r="I114" i="15"/>
  <c r="J114" i="15"/>
  <c r="E61" i="17"/>
  <c r="K114" i="15"/>
  <c r="L114" i="15"/>
  <c r="F61" i="17"/>
  <c r="C115" i="15"/>
  <c r="D115" i="15"/>
  <c r="O115" i="15"/>
  <c r="T115" i="15"/>
  <c r="E115" i="15"/>
  <c r="F115" i="15"/>
  <c r="P115" i="15"/>
  <c r="U115" i="15"/>
  <c r="G115" i="15"/>
  <c r="H115" i="15"/>
  <c r="Q115" i="15"/>
  <c r="V115" i="15"/>
  <c r="I115" i="15"/>
  <c r="J115" i="15"/>
  <c r="R115" i="15"/>
  <c r="W115" i="15"/>
  <c r="K115" i="15"/>
  <c r="L115" i="15"/>
  <c r="S115" i="15"/>
  <c r="X115" i="15"/>
  <c r="C116" i="15"/>
  <c r="C117" i="15"/>
  <c r="D116" i="15"/>
  <c r="O116" i="15"/>
  <c r="T116" i="15"/>
  <c r="E116" i="15"/>
  <c r="E117" i="15"/>
  <c r="F116" i="15"/>
  <c r="G116" i="15"/>
  <c r="G117" i="15"/>
  <c r="H116" i="15"/>
  <c r="I116" i="15"/>
  <c r="I117" i="15"/>
  <c r="J116" i="15"/>
  <c r="R116" i="15"/>
  <c r="W116" i="15"/>
  <c r="K116" i="15"/>
  <c r="K117" i="15"/>
  <c r="L116" i="15"/>
  <c r="L117" i="15"/>
  <c r="F62" i="17"/>
  <c r="C118" i="15"/>
  <c r="D118" i="15"/>
  <c r="E118" i="15"/>
  <c r="F118" i="15"/>
  <c r="G118" i="15"/>
  <c r="H118" i="15"/>
  <c r="Q118" i="15"/>
  <c r="V118" i="15"/>
  <c r="I118" i="15"/>
  <c r="J118" i="15"/>
  <c r="E63" i="17"/>
  <c r="K118" i="15"/>
  <c r="L118" i="15"/>
  <c r="C119" i="15"/>
  <c r="D119" i="15"/>
  <c r="O119" i="15"/>
  <c r="T119" i="15"/>
  <c r="E119" i="15"/>
  <c r="F119" i="15"/>
  <c r="P119" i="15"/>
  <c r="U119" i="15"/>
  <c r="G119" i="15"/>
  <c r="H119" i="15"/>
  <c r="Q119" i="15"/>
  <c r="V119" i="15"/>
  <c r="I119" i="15"/>
  <c r="J119" i="15"/>
  <c r="R119" i="15"/>
  <c r="W119" i="15"/>
  <c r="K119" i="15"/>
  <c r="L119" i="15"/>
  <c r="S119" i="15"/>
  <c r="X119" i="15"/>
  <c r="C120" i="15"/>
  <c r="D120" i="15"/>
  <c r="O120" i="15"/>
  <c r="T120" i="15"/>
  <c r="E120" i="15"/>
  <c r="F120" i="15"/>
  <c r="P120" i="15"/>
  <c r="U120" i="15"/>
  <c r="G120" i="15"/>
  <c r="H120" i="15"/>
  <c r="Q120" i="15"/>
  <c r="V120" i="15"/>
  <c r="I120" i="15"/>
  <c r="J120" i="15"/>
  <c r="R120" i="15"/>
  <c r="W120" i="15"/>
  <c r="K120" i="15"/>
  <c r="L120" i="15"/>
  <c r="S120" i="15"/>
  <c r="X120" i="15"/>
  <c r="C121" i="15"/>
  <c r="D121" i="15"/>
  <c r="O121" i="15"/>
  <c r="T121" i="15"/>
  <c r="E121" i="15"/>
  <c r="F121" i="15"/>
  <c r="C65" i="17"/>
  <c r="G121" i="15"/>
  <c r="H121" i="15"/>
  <c r="I121" i="15"/>
  <c r="J121" i="15"/>
  <c r="E65" i="17"/>
  <c r="K121" i="15"/>
  <c r="L121" i="15"/>
  <c r="C122" i="15"/>
  <c r="D122" i="15"/>
  <c r="O122" i="15"/>
  <c r="T122" i="15"/>
  <c r="E122" i="15"/>
  <c r="F122" i="15"/>
  <c r="P122" i="15"/>
  <c r="U122" i="15"/>
  <c r="G122" i="15"/>
  <c r="H122" i="15"/>
  <c r="Q122" i="15"/>
  <c r="V122" i="15"/>
  <c r="I122" i="15"/>
  <c r="J122" i="15"/>
  <c r="R122" i="15"/>
  <c r="W122" i="15"/>
  <c r="K122" i="15"/>
  <c r="L122" i="15"/>
  <c r="S122" i="15"/>
  <c r="X122" i="15"/>
  <c r="C123" i="15"/>
  <c r="D123" i="15"/>
  <c r="B67" i="17"/>
  <c r="E123" i="15"/>
  <c r="F123" i="15"/>
  <c r="P123" i="15"/>
  <c r="U123" i="15"/>
  <c r="G123" i="15"/>
  <c r="H123" i="15"/>
  <c r="Q123" i="15"/>
  <c r="V123" i="15"/>
  <c r="I123" i="15"/>
  <c r="J123" i="15"/>
  <c r="E67" i="17"/>
  <c r="K123" i="15"/>
  <c r="L123" i="15"/>
  <c r="C124" i="15"/>
  <c r="D124" i="15"/>
  <c r="O124" i="15"/>
  <c r="T124" i="15"/>
  <c r="E124" i="15"/>
  <c r="F124" i="15"/>
  <c r="P124" i="15"/>
  <c r="U124" i="15"/>
  <c r="G124" i="15"/>
  <c r="H124" i="15"/>
  <c r="Q124" i="15"/>
  <c r="V124" i="15"/>
  <c r="I124" i="15"/>
  <c r="J124" i="15"/>
  <c r="R124" i="15"/>
  <c r="W124" i="15"/>
  <c r="K124" i="15"/>
  <c r="L124" i="15"/>
  <c r="S124" i="15"/>
  <c r="X124" i="15"/>
  <c r="C125" i="15"/>
  <c r="C126" i="15"/>
  <c r="D125" i="15"/>
  <c r="O125" i="15"/>
  <c r="T125" i="15"/>
  <c r="E125" i="15"/>
  <c r="E126" i="15"/>
  <c r="F125" i="15"/>
  <c r="P125" i="15"/>
  <c r="U125" i="15"/>
  <c r="G125" i="15"/>
  <c r="G126" i="15"/>
  <c r="H125" i="15"/>
  <c r="H126" i="15"/>
  <c r="D68" i="17"/>
  <c r="I125" i="15"/>
  <c r="I126" i="15"/>
  <c r="J125" i="15"/>
  <c r="K125" i="15"/>
  <c r="K126" i="15"/>
  <c r="L125" i="15"/>
  <c r="S125" i="15"/>
  <c r="X125" i="15"/>
  <c r="D127" i="15"/>
  <c r="B69" i="17"/>
  <c r="E127" i="15"/>
  <c r="G127" i="15"/>
  <c r="H127" i="15"/>
  <c r="D69" i="17"/>
  <c r="I127" i="15"/>
  <c r="K127" i="15"/>
  <c r="L127" i="15"/>
  <c r="C128" i="15"/>
  <c r="D128" i="15"/>
  <c r="O128" i="15"/>
  <c r="T128" i="15"/>
  <c r="E128" i="15"/>
  <c r="F128" i="15"/>
  <c r="P128" i="15"/>
  <c r="U128" i="15"/>
  <c r="G128" i="15"/>
  <c r="H128" i="15"/>
  <c r="Q128" i="15"/>
  <c r="V128" i="15"/>
  <c r="I128" i="15"/>
  <c r="J128" i="15"/>
  <c r="R128" i="15"/>
  <c r="W128" i="15"/>
  <c r="K128" i="15"/>
  <c r="L128" i="15"/>
  <c r="S128" i="15"/>
  <c r="X128" i="15"/>
  <c r="C129" i="15"/>
  <c r="C130" i="15"/>
  <c r="D129" i="15"/>
  <c r="D130" i="15"/>
  <c r="B70" i="17"/>
  <c r="E129" i="15"/>
  <c r="E130" i="15"/>
  <c r="F129" i="15"/>
  <c r="F130" i="15"/>
  <c r="C70" i="17"/>
  <c r="G129" i="15"/>
  <c r="G130" i="15"/>
  <c r="H129" i="15"/>
  <c r="H130" i="15"/>
  <c r="D70" i="17"/>
  <c r="I129" i="15"/>
  <c r="I130" i="15"/>
  <c r="J129" i="15"/>
  <c r="R129" i="15"/>
  <c r="W129" i="15"/>
  <c r="K129" i="15"/>
  <c r="K130" i="15"/>
  <c r="L129" i="15"/>
  <c r="L130" i="15"/>
  <c r="F70" i="17"/>
  <c r="C131" i="15"/>
  <c r="D131" i="15"/>
  <c r="O131" i="15"/>
  <c r="T131" i="15"/>
  <c r="E131" i="15"/>
  <c r="F131" i="15"/>
  <c r="G131" i="15"/>
  <c r="H131" i="15"/>
  <c r="I131" i="15"/>
  <c r="J131" i="15"/>
  <c r="R131" i="15"/>
  <c r="W131" i="15"/>
  <c r="K131" i="15"/>
  <c r="L131" i="15"/>
  <c r="S131" i="15"/>
  <c r="X131" i="15"/>
  <c r="C132" i="15"/>
  <c r="D132" i="15"/>
  <c r="O132" i="15"/>
  <c r="T132" i="15"/>
  <c r="E132" i="15"/>
  <c r="F132" i="15"/>
  <c r="P132" i="15"/>
  <c r="U132" i="15"/>
  <c r="G132" i="15"/>
  <c r="H132" i="15"/>
  <c r="Q132" i="15"/>
  <c r="V132" i="15"/>
  <c r="I132" i="15"/>
  <c r="J132" i="15"/>
  <c r="R132" i="15"/>
  <c r="W132" i="15"/>
  <c r="K132" i="15"/>
  <c r="L132" i="15"/>
  <c r="S132" i="15"/>
  <c r="X132" i="15"/>
  <c r="C133" i="15"/>
  <c r="C134" i="15"/>
  <c r="D133" i="15"/>
  <c r="E133" i="15"/>
  <c r="E134" i="15"/>
  <c r="F133" i="15"/>
  <c r="F134" i="15"/>
  <c r="C72" i="17"/>
  <c r="G133" i="15"/>
  <c r="G134" i="15"/>
  <c r="H133" i="15"/>
  <c r="Q133" i="15"/>
  <c r="V133" i="15"/>
  <c r="I133" i="15"/>
  <c r="I134" i="15"/>
  <c r="J133" i="15"/>
  <c r="R133" i="15"/>
  <c r="W133" i="15"/>
  <c r="K133" i="15"/>
  <c r="K134" i="15"/>
  <c r="L133" i="15"/>
  <c r="S133" i="15"/>
  <c r="X133" i="15"/>
  <c r="C135" i="15"/>
  <c r="D135" i="15"/>
  <c r="O135" i="15"/>
  <c r="T135" i="15"/>
  <c r="E135" i="15"/>
  <c r="F135" i="15"/>
  <c r="P135" i="15"/>
  <c r="U135" i="15"/>
  <c r="G135" i="15"/>
  <c r="H135" i="15"/>
  <c r="Q135" i="15"/>
  <c r="V135" i="15"/>
  <c r="I135" i="15"/>
  <c r="J135" i="15"/>
  <c r="R135" i="15"/>
  <c r="W135" i="15"/>
  <c r="K135" i="15"/>
  <c r="L135" i="15"/>
  <c r="S135" i="15"/>
  <c r="X135" i="15"/>
  <c r="C136" i="15"/>
  <c r="D136" i="15"/>
  <c r="O136" i="15"/>
  <c r="T136" i="15"/>
  <c r="E136" i="15"/>
  <c r="F136" i="15"/>
  <c r="P136" i="15"/>
  <c r="U136" i="15"/>
  <c r="G136" i="15"/>
  <c r="H136" i="15"/>
  <c r="Q136" i="15"/>
  <c r="V136" i="15"/>
  <c r="I136" i="15"/>
  <c r="J136" i="15"/>
  <c r="R136" i="15"/>
  <c r="W136" i="15"/>
  <c r="K136" i="15"/>
  <c r="L136" i="15"/>
  <c r="S136" i="15"/>
  <c r="X136" i="15"/>
  <c r="C137" i="15"/>
  <c r="C139" i="15"/>
  <c r="D137" i="15"/>
  <c r="D139" i="15"/>
  <c r="B73" i="17"/>
  <c r="E137" i="15"/>
  <c r="E139" i="15"/>
  <c r="F137" i="15"/>
  <c r="F139" i="15"/>
  <c r="C73" i="17"/>
  <c r="G137" i="15"/>
  <c r="G139" i="15"/>
  <c r="H137" i="15"/>
  <c r="I137" i="15"/>
  <c r="I139" i="15"/>
  <c r="J137" i="15"/>
  <c r="K137" i="15"/>
  <c r="K139" i="15"/>
  <c r="L137" i="15"/>
  <c r="L139" i="15"/>
  <c r="F73" i="17"/>
  <c r="C138" i="15"/>
  <c r="D138" i="15"/>
  <c r="O138" i="15"/>
  <c r="T138" i="15"/>
  <c r="E138" i="15"/>
  <c r="F138" i="15"/>
  <c r="P138" i="15"/>
  <c r="U138" i="15"/>
  <c r="G138" i="15"/>
  <c r="H138" i="15"/>
  <c r="Q138" i="15"/>
  <c r="V138" i="15"/>
  <c r="I138" i="15"/>
  <c r="J138" i="15"/>
  <c r="R138" i="15"/>
  <c r="W138" i="15"/>
  <c r="K138" i="15"/>
  <c r="L138" i="15"/>
  <c r="S138" i="15"/>
  <c r="X138" i="15"/>
  <c r="C140" i="15"/>
  <c r="D140" i="15"/>
  <c r="B74" i="17"/>
  <c r="E140" i="15"/>
  <c r="F140" i="15"/>
  <c r="P140" i="15"/>
  <c r="U140" i="15"/>
  <c r="G140" i="15"/>
  <c r="H140" i="15"/>
  <c r="I140" i="15"/>
  <c r="J140" i="15"/>
  <c r="E74" i="17"/>
  <c r="K140" i="15"/>
  <c r="L140" i="15"/>
  <c r="C141" i="15"/>
  <c r="E141" i="15"/>
  <c r="F141" i="15"/>
  <c r="I141" i="15"/>
  <c r="J141" i="15"/>
  <c r="E75" i="17"/>
  <c r="D142" i="15"/>
  <c r="O142" i="15"/>
  <c r="T142" i="15"/>
  <c r="E142" i="15"/>
  <c r="F142" i="15"/>
  <c r="P142" i="15"/>
  <c r="U142" i="15"/>
  <c r="G142" i="15"/>
  <c r="H142" i="15"/>
  <c r="Q142" i="15"/>
  <c r="V142" i="15"/>
  <c r="I142" i="15"/>
  <c r="J142" i="15"/>
  <c r="R142" i="15"/>
  <c r="W142" i="15"/>
  <c r="K142" i="15"/>
  <c r="L142" i="15"/>
  <c r="S142" i="15"/>
  <c r="X142" i="15"/>
  <c r="C143" i="15"/>
  <c r="D143" i="15"/>
  <c r="O143" i="15"/>
  <c r="T143" i="15"/>
  <c r="E143" i="15"/>
  <c r="F143" i="15"/>
  <c r="P143" i="15"/>
  <c r="U143" i="15"/>
  <c r="G143" i="15"/>
  <c r="H143" i="15"/>
  <c r="Q143" i="15"/>
  <c r="V143" i="15"/>
  <c r="I143" i="15"/>
  <c r="J143" i="15"/>
  <c r="R143" i="15"/>
  <c r="W143" i="15"/>
  <c r="K143" i="15"/>
  <c r="L143" i="15"/>
  <c r="S143" i="15"/>
  <c r="X143" i="15"/>
  <c r="C144" i="15"/>
  <c r="D144" i="15"/>
  <c r="O144" i="15"/>
  <c r="T144" i="15"/>
  <c r="E144" i="15"/>
  <c r="F144" i="15"/>
  <c r="C78" i="17"/>
  <c r="G144" i="15"/>
  <c r="H144" i="15"/>
  <c r="I144" i="15"/>
  <c r="J144" i="15"/>
  <c r="E78" i="17"/>
  <c r="K144" i="15"/>
  <c r="L144" i="15"/>
  <c r="S144" i="15"/>
  <c r="X144" i="15"/>
  <c r="C145" i="15"/>
  <c r="D145" i="15"/>
  <c r="O145" i="15"/>
  <c r="T145" i="15"/>
  <c r="E145" i="15"/>
  <c r="F145" i="15"/>
  <c r="P145" i="15"/>
  <c r="U145" i="15"/>
  <c r="G145" i="15"/>
  <c r="H145" i="15"/>
  <c r="Q145" i="15"/>
  <c r="V145" i="15"/>
  <c r="I145" i="15"/>
  <c r="J145" i="15"/>
  <c r="R145" i="15"/>
  <c r="W145" i="15"/>
  <c r="K145" i="15"/>
  <c r="L145" i="15"/>
  <c r="S145" i="15"/>
  <c r="X145" i="15"/>
  <c r="C146" i="15"/>
  <c r="D146" i="15"/>
  <c r="B79" i="17"/>
  <c r="E146" i="15"/>
  <c r="F146" i="15"/>
  <c r="G146" i="15"/>
  <c r="H146" i="15"/>
  <c r="Q146" i="15"/>
  <c r="V146" i="15"/>
  <c r="I146" i="15"/>
  <c r="J146" i="15"/>
  <c r="R146" i="15"/>
  <c r="W146" i="15"/>
  <c r="K146" i="15"/>
  <c r="L146" i="15"/>
  <c r="F79" i="17"/>
  <c r="C147" i="15"/>
  <c r="D147" i="15"/>
  <c r="E147" i="15"/>
  <c r="F147" i="15"/>
  <c r="P147" i="15"/>
  <c r="U147" i="15"/>
  <c r="G147" i="15"/>
  <c r="H147" i="15"/>
  <c r="D80" i="17"/>
  <c r="I147" i="15"/>
  <c r="J147" i="15"/>
  <c r="E80" i="17"/>
  <c r="K147" i="15"/>
  <c r="L147" i="15"/>
  <c r="F80" i="17"/>
  <c r="C148" i="15"/>
  <c r="D148" i="15"/>
  <c r="O148" i="15"/>
  <c r="T148" i="15"/>
  <c r="E148" i="15"/>
  <c r="F148" i="15"/>
  <c r="P148" i="15"/>
  <c r="U148" i="15"/>
  <c r="G148" i="15"/>
  <c r="H148" i="15"/>
  <c r="Q148" i="15"/>
  <c r="V148" i="15"/>
  <c r="I148" i="15"/>
  <c r="J148" i="15"/>
  <c r="R148" i="15"/>
  <c r="W148" i="15"/>
  <c r="K148" i="15"/>
  <c r="L148" i="15"/>
  <c r="S148" i="15"/>
  <c r="X148" i="15"/>
  <c r="C149" i="15"/>
  <c r="D149" i="15"/>
  <c r="O149" i="15"/>
  <c r="T149" i="15"/>
  <c r="E149" i="15"/>
  <c r="F149" i="15"/>
  <c r="P149" i="15"/>
  <c r="U149" i="15"/>
  <c r="G149" i="15"/>
  <c r="H149" i="15"/>
  <c r="Q149" i="15"/>
  <c r="V149" i="15"/>
  <c r="I149" i="15"/>
  <c r="J149" i="15"/>
  <c r="R149" i="15"/>
  <c r="W149" i="15"/>
  <c r="K149" i="15"/>
  <c r="L149" i="15"/>
  <c r="S149" i="15"/>
  <c r="X149" i="15"/>
  <c r="C150" i="15"/>
  <c r="D150" i="15"/>
  <c r="O150" i="15"/>
  <c r="T150" i="15"/>
  <c r="E150" i="15"/>
  <c r="F150" i="15"/>
  <c r="P150" i="15"/>
  <c r="U150" i="15"/>
  <c r="G150" i="15"/>
  <c r="H150" i="15"/>
  <c r="Q150" i="15"/>
  <c r="V150" i="15"/>
  <c r="I150" i="15"/>
  <c r="J150" i="15"/>
  <c r="R150" i="15"/>
  <c r="W150" i="15"/>
  <c r="K150" i="15"/>
  <c r="L150" i="15"/>
  <c r="S150" i="15"/>
  <c r="X150" i="15"/>
  <c r="C151" i="15"/>
  <c r="D151" i="15"/>
  <c r="O151" i="15"/>
  <c r="T151" i="15"/>
  <c r="E151" i="15"/>
  <c r="F151" i="15"/>
  <c r="G151" i="15"/>
  <c r="H151" i="15"/>
  <c r="Q151" i="15"/>
  <c r="V151" i="15"/>
  <c r="I151" i="15"/>
  <c r="J151" i="15"/>
  <c r="E84" i="17"/>
  <c r="R151" i="15"/>
  <c r="W151" i="15"/>
  <c r="K151" i="15"/>
  <c r="L151" i="15"/>
  <c r="C152" i="15"/>
  <c r="D152" i="15"/>
  <c r="B85" i="17"/>
  <c r="E152" i="15"/>
  <c r="F152" i="15"/>
  <c r="P152" i="15"/>
  <c r="U152" i="15"/>
  <c r="G152" i="15"/>
  <c r="H152" i="15"/>
  <c r="Q152" i="15"/>
  <c r="V152" i="15"/>
  <c r="I152" i="15"/>
  <c r="J152" i="15"/>
  <c r="K152" i="15"/>
  <c r="L152" i="15"/>
  <c r="F85" i="17"/>
  <c r="D13" i="17"/>
  <c r="B18" i="17"/>
  <c r="D18" i="17"/>
  <c r="D23" i="17"/>
  <c r="D19" i="17" s="1"/>
  <c r="E29" i="17"/>
  <c r="E40" i="17"/>
  <c r="F78" i="17"/>
  <c r="F31" i="9"/>
  <c r="I31" i="9"/>
  <c r="F18" i="9"/>
  <c r="P57" i="9"/>
  <c r="F23" i="9"/>
  <c r="I23" i="9"/>
  <c r="P47" i="9"/>
  <c r="P35" i="9"/>
  <c r="J82" i="16"/>
  <c r="J100" i="15"/>
  <c r="J36" i="16"/>
  <c r="J42" i="15"/>
  <c r="F27" i="9"/>
  <c r="P27" i="9"/>
  <c r="K56" i="9"/>
  <c r="F49" i="9"/>
  <c r="I49" i="9"/>
  <c r="L20" i="15"/>
  <c r="F10" i="17"/>
  <c r="S137" i="15"/>
  <c r="X137" i="15"/>
  <c r="M27" i="7"/>
  <c r="O27" i="7"/>
  <c r="P27" i="7"/>
  <c r="M24" i="7"/>
  <c r="O24" i="7"/>
  <c r="P24" i="7"/>
  <c r="M22" i="7"/>
  <c r="O22" i="7"/>
  <c r="P22" i="7"/>
  <c r="M19" i="7"/>
  <c r="O19" i="7"/>
  <c r="P19" i="7"/>
  <c r="F41" i="15"/>
  <c r="C25" i="17"/>
  <c r="K35" i="9"/>
  <c r="G57" i="9"/>
  <c r="Q40" i="15"/>
  <c r="V40" i="15"/>
  <c r="K36" i="9"/>
  <c r="J130" i="15"/>
  <c r="E70" i="17"/>
  <c r="F82" i="13"/>
  <c r="R82" i="13"/>
  <c r="W82" i="13"/>
  <c r="H6" i="15"/>
  <c r="D4" i="17"/>
  <c r="AA5" i="26" s="1"/>
  <c r="D81" i="16"/>
  <c r="D99" i="15"/>
  <c r="F13" i="15"/>
  <c r="P5" i="9"/>
  <c r="M8" i="9"/>
  <c r="H134" i="15"/>
  <c r="D72" i="17"/>
  <c r="O55" i="9"/>
  <c r="Q55" i="9"/>
  <c r="M8" i="7"/>
  <c r="O8" i="7"/>
  <c r="P8" i="7"/>
  <c r="M5" i="7"/>
  <c r="O5" i="7"/>
  <c r="P5" i="7"/>
  <c r="M4" i="7"/>
  <c r="O4" i="7"/>
  <c r="P4" i="7"/>
  <c r="M2" i="7"/>
  <c r="O2" i="7"/>
  <c r="P2" i="7"/>
  <c r="O40" i="15"/>
  <c r="T40" i="15"/>
  <c r="H41" i="9"/>
  <c r="P17" i="9"/>
  <c r="J17" i="9"/>
  <c r="K8" i="9"/>
  <c r="I8" i="9"/>
  <c r="P49" i="9"/>
  <c r="G44" i="9"/>
  <c r="F47" i="9"/>
  <c r="B78" i="17"/>
  <c r="B42" i="17"/>
  <c r="D63" i="17"/>
  <c r="J20" i="15"/>
  <c r="E10" i="17"/>
  <c r="O140" i="15"/>
  <c r="T140" i="15"/>
  <c r="Q48" i="15"/>
  <c r="V48" i="15"/>
  <c r="I16" i="7"/>
  <c r="G16" i="7"/>
  <c r="M16" i="7"/>
  <c r="O16" i="7"/>
  <c r="P16" i="7"/>
  <c r="M14" i="7"/>
  <c r="O14" i="7"/>
  <c r="P14" i="7"/>
  <c r="M13" i="7"/>
  <c r="O13" i="7"/>
  <c r="P13" i="7"/>
  <c r="M9" i="7"/>
  <c r="O9" i="7"/>
  <c r="P9" i="7"/>
  <c r="M11" i="7"/>
  <c r="O11" i="7"/>
  <c r="P11" i="7"/>
  <c r="P56" i="9"/>
  <c r="H67" i="15"/>
  <c r="D44" i="17"/>
  <c r="O7" i="15"/>
  <c r="T7" i="15"/>
  <c r="I44" i="9"/>
  <c r="H44" i="9"/>
  <c r="P44" i="9"/>
  <c r="W9" i="15"/>
  <c r="E6" i="17"/>
  <c r="H83" i="16"/>
  <c r="H101" i="15"/>
  <c r="H107" i="15"/>
  <c r="D56" i="17"/>
  <c r="S114" i="15"/>
  <c r="X114" i="15"/>
  <c r="E50" i="17"/>
  <c r="H36" i="13"/>
  <c r="S36" i="13"/>
  <c r="X36" i="13"/>
  <c r="J56" i="9"/>
  <c r="L7" i="9"/>
  <c r="K7" i="9"/>
  <c r="Q50" i="15"/>
  <c r="V50" i="15"/>
  <c r="E71" i="17"/>
  <c r="T61" i="15"/>
  <c r="B40" i="17"/>
  <c r="F32" i="17"/>
  <c r="J83" i="16"/>
  <c r="J101" i="15"/>
  <c r="J107" i="15"/>
  <c r="E56" i="17"/>
  <c r="J83" i="13"/>
  <c r="F36" i="13"/>
  <c r="R36" i="13"/>
  <c r="W36" i="13"/>
  <c r="G24" i="9"/>
  <c r="L8" i="9"/>
  <c r="G58" i="9"/>
  <c r="M7" i="9"/>
  <c r="L67" i="15"/>
  <c r="F44" i="17"/>
  <c r="H82" i="16"/>
  <c r="H100" i="15"/>
  <c r="H63" i="13"/>
  <c r="S63" i="13"/>
  <c r="X63" i="13"/>
  <c r="I56" i="9"/>
  <c r="J48" i="9"/>
  <c r="J16" i="9"/>
  <c r="F126" i="15"/>
  <c r="C68" i="17"/>
  <c r="P70" i="15"/>
  <c r="U70" i="15"/>
  <c r="F72" i="15"/>
  <c r="C45" i="17"/>
  <c r="R23" i="15"/>
  <c r="W23" i="15"/>
  <c r="J24" i="15"/>
  <c r="E12" i="17"/>
  <c r="G42" i="9"/>
  <c r="P42" i="9"/>
  <c r="P121" i="15"/>
  <c r="U121" i="15"/>
  <c r="B84" i="17"/>
  <c r="S147" i="15"/>
  <c r="X147" i="15"/>
  <c r="P61" i="15"/>
  <c r="U61" i="15"/>
  <c r="X61" i="15"/>
  <c r="F40" i="17"/>
  <c r="S146" i="15"/>
  <c r="X146" i="15"/>
  <c r="O146" i="15"/>
  <c r="T146" i="15"/>
  <c r="G49" i="9"/>
  <c r="O49" i="9"/>
  <c r="Q49" i="9"/>
  <c r="R49" i="9"/>
  <c r="S49" i="9"/>
  <c r="P16" i="9"/>
  <c r="D67" i="13"/>
  <c r="Q67" i="13"/>
  <c r="V67" i="13"/>
  <c r="I28" i="9"/>
  <c r="G56" i="9"/>
  <c r="L78" i="15"/>
  <c r="F47" i="17"/>
  <c r="S75" i="15"/>
  <c r="X75" i="15"/>
  <c r="F81" i="16"/>
  <c r="F99" i="15"/>
  <c r="J6" i="15"/>
  <c r="E4" i="17"/>
  <c r="AB5" i="26"/>
  <c r="S15" i="15"/>
  <c r="X15" i="15"/>
  <c r="L6" i="9"/>
  <c r="H6" i="9"/>
  <c r="P6" i="9"/>
  <c r="I6" i="9"/>
  <c r="R152" i="15"/>
  <c r="W152" i="15"/>
  <c r="E85" i="17"/>
  <c r="O152" i="15"/>
  <c r="T152" i="15"/>
  <c r="Q53" i="15"/>
  <c r="V53" i="15"/>
  <c r="F38" i="15"/>
  <c r="C24" i="17"/>
  <c r="S35" i="15"/>
  <c r="X35" i="15"/>
  <c r="Q7" i="15"/>
  <c r="V7" i="15"/>
  <c r="F71" i="17"/>
  <c r="P59" i="9"/>
  <c r="K17" i="9"/>
  <c r="F74" i="17"/>
  <c r="S140" i="15"/>
  <c r="X140" i="15"/>
  <c r="Q129" i="15"/>
  <c r="V129" i="15"/>
  <c r="S68" i="13"/>
  <c r="X68" i="13"/>
  <c r="J47" i="9"/>
  <c r="K6" i="9"/>
  <c r="C80" i="17"/>
  <c r="H72" i="15"/>
  <c r="D45" i="17"/>
  <c r="B65" i="17"/>
  <c r="R75" i="15"/>
  <c r="W75" i="15"/>
  <c r="J78" i="15"/>
  <c r="E47" i="17"/>
  <c r="S40" i="15"/>
  <c r="X40" i="15"/>
  <c r="I57" i="9"/>
  <c r="K57" i="9"/>
  <c r="F49" i="15"/>
  <c r="C27" i="17"/>
  <c r="B12" i="17"/>
  <c r="H40" i="9"/>
  <c r="I37" i="9"/>
  <c r="P34" i="9"/>
  <c r="K34" i="9"/>
  <c r="K32" i="9"/>
  <c r="R62" i="15"/>
  <c r="W62" i="15"/>
  <c r="D49" i="15"/>
  <c r="B27" i="17"/>
  <c r="G45" i="9"/>
  <c r="D70" i="13"/>
  <c r="Q70" i="13"/>
  <c r="V70" i="13"/>
  <c r="H20" i="15"/>
  <c r="D10" i="17"/>
  <c r="E23" i="17"/>
  <c r="K37" i="9"/>
  <c r="F32" i="9"/>
  <c r="R92" i="15"/>
  <c r="W92" i="15"/>
  <c r="J70" i="13"/>
  <c r="T70" i="13"/>
  <c r="Y70" i="13"/>
  <c r="I34" i="9"/>
  <c r="B23" i="17"/>
  <c r="D84" i="17"/>
  <c r="O123" i="15"/>
  <c r="T123" i="15"/>
  <c r="R121" i="15"/>
  <c r="W121" i="15"/>
  <c r="D40" i="17"/>
  <c r="E13" i="15"/>
  <c r="F70" i="13"/>
  <c r="R70" i="13"/>
  <c r="W70" i="13"/>
  <c r="I41" i="9"/>
  <c r="K49" i="9"/>
  <c r="C85" i="17"/>
  <c r="D71" i="17"/>
  <c r="Q131" i="15"/>
  <c r="V131" i="15"/>
  <c r="R114" i="15"/>
  <c r="W114" i="15"/>
  <c r="C61" i="17"/>
  <c r="O25" i="15"/>
  <c r="T25" i="15"/>
  <c r="H70" i="16"/>
  <c r="H82" i="15"/>
  <c r="H70" i="13"/>
  <c r="S70" i="13"/>
  <c r="X70" i="13"/>
  <c r="J58" i="9"/>
  <c r="H58" i="9"/>
  <c r="K58" i="9"/>
  <c r="L58" i="9"/>
  <c r="K40" i="9"/>
  <c r="R123" i="15"/>
  <c r="W123" i="15"/>
  <c r="R53" i="15"/>
  <c r="W53" i="15"/>
  <c r="E32" i="17"/>
  <c r="Q23" i="15"/>
  <c r="V23" i="15"/>
  <c r="H24" i="15"/>
  <c r="D12" i="17"/>
  <c r="K15" i="9"/>
  <c r="D38" i="15"/>
  <c r="B24" i="17"/>
  <c r="O37" i="15"/>
  <c r="T37" i="15"/>
  <c r="C16" i="17"/>
  <c r="P29" i="9"/>
  <c r="J29" i="9"/>
  <c r="D85" i="17"/>
  <c r="E79" i="17"/>
  <c r="R118" i="15"/>
  <c r="W118" i="15"/>
  <c r="J117" i="15"/>
  <c r="E62" i="17"/>
  <c r="S7" i="15"/>
  <c r="X7" i="15"/>
  <c r="D83" i="13"/>
  <c r="D101" i="15"/>
  <c r="D107" i="15"/>
  <c r="B56" i="17"/>
  <c r="H77" i="13"/>
  <c r="S77" i="13"/>
  <c r="X77" i="13"/>
  <c r="H77" i="16"/>
  <c r="H94" i="15"/>
  <c r="D63" i="16"/>
  <c r="D73" i="15"/>
  <c r="D63" i="13"/>
  <c r="Q63" i="13"/>
  <c r="V63" i="13"/>
  <c r="J27" i="9"/>
  <c r="G27" i="9"/>
  <c r="M6" i="9"/>
  <c r="G59" i="9"/>
  <c r="L126" i="15"/>
  <c r="F68" i="17"/>
  <c r="G40" i="9"/>
  <c r="S28" i="15"/>
  <c r="X28" i="15"/>
  <c r="F16" i="17"/>
  <c r="E13" i="17"/>
  <c r="Q127" i="15"/>
  <c r="V127" i="15"/>
  <c r="O28" i="15"/>
  <c r="T28" i="15"/>
  <c r="B16" i="17"/>
  <c r="D82" i="13"/>
  <c r="Q82" i="13"/>
  <c r="V82" i="13"/>
  <c r="G8" i="9"/>
  <c r="H8" i="9"/>
  <c r="P7" i="9"/>
  <c r="I7" i="9"/>
  <c r="H59" i="9"/>
  <c r="K59" i="9"/>
  <c r="G47" i="9"/>
  <c r="J26" i="9"/>
  <c r="S5" i="15"/>
  <c r="X5" i="15"/>
  <c r="R70" i="15"/>
  <c r="W70" i="15"/>
  <c r="P92" i="15"/>
  <c r="U92" i="15"/>
  <c r="Q8" i="15"/>
  <c r="V8" i="15"/>
  <c r="P129" i="15"/>
  <c r="U129" i="15"/>
  <c r="S84" i="15"/>
  <c r="X84" i="15"/>
  <c r="J89" i="15"/>
  <c r="E51" i="17"/>
  <c r="R30" i="15"/>
  <c r="W30" i="15"/>
  <c r="D67" i="17"/>
  <c r="L77" i="16"/>
  <c r="L94" i="15"/>
  <c r="O23" i="15"/>
  <c r="T23" i="15"/>
  <c r="H7" i="9"/>
  <c r="Q114" i="15"/>
  <c r="V114" i="15"/>
  <c r="P8" i="9"/>
  <c r="Q147" i="15"/>
  <c r="V147" i="15"/>
  <c r="R55" i="15"/>
  <c r="W55" i="15"/>
  <c r="B71" i="17"/>
  <c r="R147" i="15"/>
  <c r="W147" i="15"/>
  <c r="F6" i="15"/>
  <c r="C4" i="17"/>
  <c r="Z5" i="26" s="1"/>
  <c r="D117" i="15"/>
  <c r="B62" i="17"/>
  <c r="F77" i="16"/>
  <c r="F94" i="15"/>
  <c r="Q12" i="15"/>
  <c r="V12" i="15"/>
  <c r="L82" i="13"/>
  <c r="U82" i="13"/>
  <c r="Z82" i="13"/>
  <c r="L82" i="16"/>
  <c r="L100" i="15"/>
  <c r="L68" i="16"/>
  <c r="L80" i="15"/>
  <c r="C77" i="17"/>
  <c r="D77" i="17"/>
  <c r="D126" i="15"/>
  <c r="B68" i="17"/>
  <c r="P84" i="15"/>
  <c r="U84" i="15"/>
  <c r="B61" i="17"/>
  <c r="O129" i="15"/>
  <c r="T129" i="15"/>
  <c r="F41" i="17"/>
  <c r="C31" i="17"/>
  <c r="E43" i="17"/>
  <c r="P25" i="15"/>
  <c r="U25" i="15"/>
  <c r="Q73" i="15"/>
  <c r="V73" i="15"/>
  <c r="O22" i="9"/>
  <c r="Q22" i="9"/>
  <c r="O20" i="9"/>
  <c r="Q20" i="9"/>
  <c r="G5" i="9"/>
  <c r="O21" i="9"/>
  <c r="Q21" i="9"/>
  <c r="B60" i="17"/>
  <c r="L83" i="13"/>
  <c r="X42" i="15"/>
  <c r="F88" i="15"/>
  <c r="C50" i="17"/>
  <c r="U82" i="15"/>
  <c r="Q125" i="15"/>
  <c r="V125" i="15"/>
  <c r="F106" i="15"/>
  <c r="C55" i="17"/>
  <c r="E64" i="17"/>
  <c r="C82" i="17"/>
  <c r="S152" i="15"/>
  <c r="X152" i="15"/>
  <c r="Q28" i="15"/>
  <c r="V28" i="15"/>
  <c r="F60" i="17"/>
  <c r="B11" i="17"/>
  <c r="F19" i="17"/>
  <c r="J126" i="15"/>
  <c r="E68" i="17"/>
  <c r="R125" i="15"/>
  <c r="W125" i="15"/>
  <c r="Q121" i="15"/>
  <c r="V121" i="15"/>
  <c r="D65" i="17"/>
  <c r="I40" i="9"/>
  <c r="P40" i="9"/>
  <c r="G29" i="9"/>
  <c r="F29" i="9"/>
  <c r="I29" i="9"/>
  <c r="O29" i="9"/>
  <c r="Q29" i="9"/>
  <c r="R29" i="9"/>
  <c r="S29" i="9"/>
  <c r="P28" i="9"/>
  <c r="K28" i="9"/>
  <c r="G9" i="9"/>
  <c r="I9" i="9"/>
  <c r="K9" i="9"/>
  <c r="P9" i="9"/>
  <c r="F67" i="17"/>
  <c r="S123" i="15"/>
  <c r="X123" i="15"/>
  <c r="F31" i="17"/>
  <c r="S52" i="15"/>
  <c r="X52" i="15"/>
  <c r="D83" i="17"/>
  <c r="P50" i="15"/>
  <c r="U50" i="15"/>
  <c r="C28" i="17"/>
  <c r="P35" i="15"/>
  <c r="U35" i="15"/>
  <c r="C23" i="17"/>
  <c r="R8" i="15"/>
  <c r="W8" i="15"/>
  <c r="Q42" i="15"/>
  <c r="V42" i="15"/>
  <c r="H46" i="15"/>
  <c r="D26" i="17"/>
  <c r="P58" i="9"/>
  <c r="I58" i="9"/>
  <c r="P46" i="9"/>
  <c r="G46" i="9"/>
  <c r="O127" i="15"/>
  <c r="T127" i="15"/>
  <c r="R110" i="15"/>
  <c r="W110" i="15"/>
  <c r="J30" i="9"/>
  <c r="J45" i="9"/>
  <c r="B29" i="17"/>
  <c r="D89" i="15"/>
  <c r="B51" i="17"/>
  <c r="F30" i="9"/>
  <c r="O92" i="15"/>
  <c r="T92" i="15"/>
  <c r="K23" i="9"/>
  <c r="S70" i="15"/>
  <c r="X70" i="15"/>
  <c r="P30" i="15"/>
  <c r="U30" i="15"/>
  <c r="D6" i="15"/>
  <c r="B4" i="17"/>
  <c r="Y5" i="26" s="1"/>
  <c r="K41" i="9"/>
  <c r="J24" i="9"/>
  <c r="G23" i="9"/>
  <c r="O23" i="9"/>
  <c r="Q23" i="9"/>
  <c r="R23" i="9"/>
  <c r="S23" i="9"/>
  <c r="K16" i="9"/>
  <c r="K5" i="9"/>
  <c r="H5" i="9"/>
  <c r="F24" i="15"/>
  <c r="C12" i="17"/>
  <c r="I16" i="9"/>
  <c r="F25" i="9"/>
  <c r="I25" i="9"/>
  <c r="K29" i="9"/>
  <c r="E28" i="17"/>
  <c r="K18" i="9"/>
  <c r="E9" i="17"/>
  <c r="B14" i="17"/>
  <c r="P23" i="9"/>
  <c r="Q62" i="15"/>
  <c r="V62" i="15"/>
  <c r="G41" i="9"/>
  <c r="O41" i="9"/>
  <c r="Q41" i="9"/>
  <c r="R41" i="9"/>
  <c r="S41" i="9"/>
  <c r="P45" i="9"/>
  <c r="F68" i="16"/>
  <c r="F80" i="15"/>
  <c r="S54" i="15"/>
  <c r="X54" i="15"/>
  <c r="P15" i="15"/>
  <c r="U15" i="15"/>
  <c r="O137" i="15"/>
  <c r="T137" i="15"/>
  <c r="R144" i="15"/>
  <c r="W144" i="15"/>
  <c r="Q51" i="15"/>
  <c r="V51" i="15"/>
  <c r="L63" i="16"/>
  <c r="L73" i="15"/>
  <c r="F19" i="9"/>
  <c r="I19" i="9"/>
  <c r="O18" i="15"/>
  <c r="T18" i="15"/>
  <c r="D33" i="17"/>
  <c r="Q37" i="15"/>
  <c r="V37" i="15"/>
  <c r="C67" i="17"/>
  <c r="L81" i="16"/>
  <c r="L99" i="15"/>
  <c r="E16" i="17"/>
  <c r="R140" i="15"/>
  <c r="W140" i="15"/>
  <c r="P137" i="15"/>
  <c r="U137" i="15"/>
  <c r="P133" i="15"/>
  <c r="U133" i="15"/>
  <c r="Q92" i="15"/>
  <c r="V92" i="15"/>
  <c r="H78" i="15"/>
  <c r="D47" i="17"/>
  <c r="I108" i="15"/>
  <c r="G43" i="9"/>
  <c r="D74" i="17"/>
  <c r="Q140" i="15"/>
  <c r="V140" i="15"/>
  <c r="S151" i="15"/>
  <c r="X151" i="15"/>
  <c r="F84" i="17"/>
  <c r="S121" i="15"/>
  <c r="X121" i="15"/>
  <c r="F65" i="17"/>
  <c r="O118" i="15"/>
  <c r="T118" i="15"/>
  <c r="B63" i="17"/>
  <c r="S23" i="15"/>
  <c r="X23" i="15"/>
  <c r="L24" i="15"/>
  <c r="F12" i="17"/>
  <c r="E5" i="17"/>
  <c r="R7" i="15"/>
  <c r="W7" i="15"/>
  <c r="D78" i="17"/>
  <c r="Q144" i="15"/>
  <c r="V144" i="15"/>
  <c r="L111" i="15"/>
  <c r="F58" i="17"/>
  <c r="S110" i="15"/>
  <c r="X110" i="15"/>
  <c r="Q110" i="15"/>
  <c r="V110" i="15"/>
  <c r="H111" i="15"/>
  <c r="D58" i="17"/>
  <c r="D86" i="15"/>
  <c r="B48" i="17"/>
  <c r="O79" i="15"/>
  <c r="T79" i="15"/>
  <c r="I59" i="9"/>
  <c r="L59" i="9"/>
  <c r="J59" i="9"/>
  <c r="O59" i="9"/>
  <c r="Q59" i="9"/>
  <c r="R59" i="9"/>
  <c r="S59" i="9"/>
  <c r="K47" i="9"/>
  <c r="I47" i="9"/>
  <c r="P144" i="15"/>
  <c r="U144" i="15"/>
  <c r="O40" i="9"/>
  <c r="Q40" i="9"/>
  <c r="R40" i="9"/>
  <c r="S40" i="9"/>
  <c r="G18" i="9"/>
  <c r="I5" i="9"/>
  <c r="H81" i="16"/>
  <c r="H99" i="15"/>
  <c r="Q99" i="15"/>
  <c r="V99" i="15"/>
  <c r="L5" i="9"/>
  <c r="F45" i="9"/>
  <c r="I45" i="9"/>
  <c r="O45" i="9"/>
  <c r="Q45" i="9"/>
  <c r="R45" i="9"/>
  <c r="S45" i="9"/>
  <c r="J18" i="9"/>
  <c r="J67" i="15"/>
  <c r="E44" i="17"/>
  <c r="D13" i="15"/>
  <c r="B77" i="17"/>
  <c r="P24" i="9"/>
  <c r="H89" i="15"/>
  <c r="D51" i="17"/>
  <c r="J25" i="9"/>
  <c r="B32" i="17"/>
  <c r="I18" i="9"/>
  <c r="S30" i="15"/>
  <c r="X30" i="15"/>
  <c r="D72" i="15"/>
  <c r="B45" i="17"/>
  <c r="B19" i="17"/>
  <c r="F6" i="17"/>
  <c r="H9" i="9"/>
  <c r="P7" i="15"/>
  <c r="U7" i="15"/>
  <c r="G25" i="9"/>
  <c r="H67" i="16"/>
  <c r="H79" i="15"/>
  <c r="I42" i="9"/>
  <c r="J19" i="9"/>
  <c r="D67" i="15"/>
  <c r="B44" i="17"/>
  <c r="J81" i="13"/>
  <c r="T81" i="13"/>
  <c r="Y81" i="13"/>
  <c r="J77" i="13"/>
  <c r="T77" i="13"/>
  <c r="Y77" i="13"/>
  <c r="O7" i="9"/>
  <c r="Q7" i="9"/>
  <c r="R7" i="9"/>
  <c r="S7" i="9"/>
  <c r="O8" i="9"/>
  <c r="Q8" i="9"/>
  <c r="R8" i="9"/>
  <c r="S8" i="9"/>
  <c r="G37" i="9"/>
  <c r="O37" i="9"/>
  <c r="Q37" i="9"/>
  <c r="R37" i="9"/>
  <c r="S37" i="9"/>
  <c r="E108" i="15"/>
  <c r="G34" i="9"/>
  <c r="O34" i="9"/>
  <c r="Q34" i="9"/>
  <c r="R34" i="9"/>
  <c r="S34" i="9"/>
  <c r="F17" i="17"/>
  <c r="R137" i="15"/>
  <c r="W137" i="15"/>
  <c r="J139" i="15"/>
  <c r="E73" i="17"/>
  <c r="C41" i="17"/>
  <c r="P62" i="15"/>
  <c r="U62" i="15"/>
  <c r="Q9" i="15"/>
  <c r="V9" i="15"/>
  <c r="D6" i="17"/>
  <c r="J63" i="16"/>
  <c r="J73" i="15"/>
  <c r="J63" i="13"/>
  <c r="T63" i="13"/>
  <c r="Y63" i="13"/>
  <c r="E37" i="17"/>
  <c r="C42" i="17"/>
  <c r="D14" i="17"/>
  <c r="H139" i="15"/>
  <c r="D73" i="17"/>
  <c r="Q137" i="15"/>
  <c r="V137" i="15"/>
  <c r="D134" i="15"/>
  <c r="B72" i="17"/>
  <c r="O133" i="15"/>
  <c r="T133" i="15"/>
  <c r="C71" i="17"/>
  <c r="P131" i="15"/>
  <c r="U131" i="15"/>
  <c r="Q116" i="15"/>
  <c r="V116" i="15"/>
  <c r="H117" i="15"/>
  <c r="D62" i="17"/>
  <c r="D78" i="15"/>
  <c r="B47" i="17"/>
  <c r="O75" i="15"/>
  <c r="T75" i="15"/>
  <c r="C32" i="17"/>
  <c r="P53" i="15"/>
  <c r="U53" i="15"/>
  <c r="B28" i="17"/>
  <c r="O50" i="15"/>
  <c r="T50" i="15"/>
  <c r="B9" i="17"/>
  <c r="O15" i="15"/>
  <c r="T15" i="15"/>
  <c r="F63" i="16"/>
  <c r="F73" i="15"/>
  <c r="F63" i="13"/>
  <c r="R63" i="13"/>
  <c r="W63" i="13"/>
  <c r="F43" i="17"/>
  <c r="C60" i="17"/>
  <c r="P151" i="15"/>
  <c r="U151" i="15"/>
  <c r="C84" i="17"/>
  <c r="C75" i="17"/>
  <c r="P141" i="15"/>
  <c r="U141" i="15"/>
  <c r="F69" i="17"/>
  <c r="S127" i="15"/>
  <c r="X127" i="15"/>
  <c r="S118" i="15"/>
  <c r="X118" i="15"/>
  <c r="F63" i="17"/>
  <c r="F117" i="15"/>
  <c r="C62" i="17"/>
  <c r="P116" i="15"/>
  <c r="U116" i="15"/>
  <c r="P66" i="15"/>
  <c r="U66" i="15"/>
  <c r="F67" i="15"/>
  <c r="C44" i="17"/>
  <c r="E31" i="17"/>
  <c r="R52" i="15"/>
  <c r="W52" i="15"/>
  <c r="J13" i="15"/>
  <c r="R11" i="15"/>
  <c r="W11" i="15"/>
  <c r="D36" i="13"/>
  <c r="Q36" i="13"/>
  <c r="V36" i="13"/>
  <c r="D36" i="16"/>
  <c r="D42" i="15"/>
  <c r="G32" i="9"/>
  <c r="P32" i="9"/>
  <c r="J32" i="9"/>
  <c r="I32" i="9"/>
  <c r="G19" i="9"/>
  <c r="K19" i="9"/>
  <c r="O19" i="9"/>
  <c r="Q19" i="9"/>
  <c r="R19" i="9"/>
  <c r="S19" i="9"/>
  <c r="G36" i="9"/>
  <c r="P36" i="9"/>
  <c r="I36" i="9"/>
  <c r="F34" i="17"/>
  <c r="S55" i="15"/>
  <c r="X55" i="15"/>
  <c r="B34" i="17"/>
  <c r="O55" i="15"/>
  <c r="T55" i="15"/>
  <c r="E69" i="17"/>
  <c r="R127" i="15"/>
  <c r="W127" i="15"/>
  <c r="C69" i="17"/>
  <c r="P127" i="15"/>
  <c r="U127" i="15"/>
  <c r="D75" i="17"/>
  <c r="Q141" i="15"/>
  <c r="V141" i="15"/>
  <c r="B75" i="17"/>
  <c r="O141" i="15"/>
  <c r="T141" i="15"/>
  <c r="F64" i="17"/>
  <c r="I27" i="9"/>
  <c r="K27" i="9"/>
  <c r="O147" i="15"/>
  <c r="T147" i="15"/>
  <c r="B80" i="17"/>
  <c r="C63" i="17"/>
  <c r="P118" i="15"/>
  <c r="U118" i="15"/>
  <c r="B31" i="17"/>
  <c r="O52" i="15"/>
  <c r="T52" i="15"/>
  <c r="J38" i="15"/>
  <c r="E24" i="17"/>
  <c r="R37" i="15"/>
  <c r="W37" i="15"/>
  <c r="P8" i="15"/>
  <c r="U8" i="15"/>
  <c r="J67" i="13"/>
  <c r="T67" i="13"/>
  <c r="Y67" i="13"/>
  <c r="J67" i="16"/>
  <c r="J79" i="15"/>
  <c r="F77" i="17"/>
  <c r="E66" i="17"/>
  <c r="P54" i="15"/>
  <c r="U54" i="15"/>
  <c r="E33" i="17"/>
  <c r="S37" i="15"/>
  <c r="X37" i="15"/>
  <c r="F8" i="17"/>
  <c r="R94" i="15"/>
  <c r="W94" i="15"/>
  <c r="D106" i="15"/>
  <c r="B55" i="17"/>
  <c r="F14" i="17"/>
  <c r="G108" i="15"/>
  <c r="D34" i="17"/>
  <c r="B59" i="17"/>
  <c r="B76" i="17"/>
  <c r="B38" i="17"/>
  <c r="B35" i="17"/>
  <c r="C19" i="17"/>
  <c r="S50" i="15"/>
  <c r="X50" i="15"/>
  <c r="F28" i="17"/>
  <c r="S48" i="15"/>
  <c r="X48" i="15"/>
  <c r="L49" i="15"/>
  <c r="F27" i="17"/>
  <c r="S25" i="15"/>
  <c r="X25" i="15"/>
  <c r="F13" i="17"/>
  <c r="J105" i="15"/>
  <c r="R99" i="15"/>
  <c r="W99" i="15"/>
  <c r="D77" i="13"/>
  <c r="Q77" i="13"/>
  <c r="V77" i="13"/>
  <c r="D77" i="16"/>
  <c r="D94" i="15"/>
  <c r="L67" i="16"/>
  <c r="L79" i="15"/>
  <c r="L67" i="13"/>
  <c r="U67" i="13"/>
  <c r="Z67" i="13"/>
  <c r="F67" i="16"/>
  <c r="F79" i="15"/>
  <c r="F67" i="13"/>
  <c r="R67" i="13"/>
  <c r="W67" i="13"/>
  <c r="I60" i="9"/>
  <c r="K60" i="9"/>
  <c r="P60" i="9"/>
  <c r="P48" i="9"/>
  <c r="G48" i="9"/>
  <c r="F48" i="9"/>
  <c r="I48" i="9"/>
  <c r="O48" i="9"/>
  <c r="Q48" i="9"/>
  <c r="R48" i="9"/>
  <c r="S48" i="9"/>
  <c r="G31" i="9"/>
  <c r="J31" i="9"/>
  <c r="P31" i="9"/>
  <c r="P26" i="9"/>
  <c r="F26" i="9"/>
  <c r="O62" i="15"/>
  <c r="T62" i="15"/>
  <c r="B41" i="17"/>
  <c r="O54" i="15"/>
  <c r="T54" i="15"/>
  <c r="B33" i="17"/>
  <c r="S11" i="15"/>
  <c r="X11" i="15"/>
  <c r="L13" i="15"/>
  <c r="J68" i="16"/>
  <c r="J80" i="15"/>
  <c r="J68" i="13"/>
  <c r="T68" i="13"/>
  <c r="Y68" i="13"/>
  <c r="L56" i="9"/>
  <c r="H56" i="9"/>
  <c r="O56" i="9"/>
  <c r="Q56" i="9"/>
  <c r="R56" i="9"/>
  <c r="S56" i="9"/>
  <c r="K46" i="9"/>
  <c r="F46" i="9"/>
  <c r="I46" i="9"/>
  <c r="O46" i="9"/>
  <c r="Q46" i="9"/>
  <c r="R46" i="9"/>
  <c r="S46" i="9"/>
  <c r="J46" i="9"/>
  <c r="P43" i="9"/>
  <c r="H43" i="9"/>
  <c r="O43" i="9"/>
  <c r="Q43" i="9"/>
  <c r="R43" i="9"/>
  <c r="S43" i="9"/>
  <c r="I43" i="9"/>
  <c r="P30" i="9"/>
  <c r="I30" i="9"/>
  <c r="F42" i="17"/>
  <c r="C79" i="17"/>
  <c r="P146" i="15"/>
  <c r="U146" i="15"/>
  <c r="D111" i="15"/>
  <c r="B58" i="17"/>
  <c r="O110" i="15"/>
  <c r="T110" i="15"/>
  <c r="O9" i="15"/>
  <c r="T9" i="15"/>
  <c r="B6" i="17"/>
  <c r="F83" i="16"/>
  <c r="F101" i="15"/>
  <c r="F107" i="15"/>
  <c r="C56" i="17"/>
  <c r="F83" i="13"/>
  <c r="L70" i="13"/>
  <c r="U70" i="13"/>
  <c r="Z70" i="13"/>
  <c r="L70" i="16"/>
  <c r="L82" i="15"/>
  <c r="D68" i="16"/>
  <c r="D80" i="15"/>
  <c r="D68" i="13"/>
  <c r="Q68" i="13"/>
  <c r="V68" i="13"/>
  <c r="F46" i="15"/>
  <c r="C26" i="17"/>
  <c r="P42" i="15"/>
  <c r="U42" i="15"/>
  <c r="P33" i="9"/>
  <c r="G33" i="9"/>
  <c r="J28" i="9"/>
  <c r="G28" i="9"/>
  <c r="O28" i="9"/>
  <c r="Q28" i="9"/>
  <c r="R28" i="9"/>
  <c r="S28" i="9"/>
  <c r="G15" i="9"/>
  <c r="F15" i="9"/>
  <c r="I15" i="9"/>
  <c r="J15" i="9"/>
  <c r="M9" i="9"/>
  <c r="L9" i="9"/>
  <c r="O9" i="9"/>
  <c r="Q9" i="9"/>
  <c r="R9" i="9"/>
  <c r="S9" i="9"/>
  <c r="O58" i="9"/>
  <c r="Q58" i="9"/>
  <c r="R58" i="9"/>
  <c r="S58" i="9"/>
  <c r="G26" i="9"/>
  <c r="C74" i="17"/>
  <c r="K25" i="9"/>
  <c r="I24" i="9"/>
  <c r="O24" i="9"/>
  <c r="Q24" i="9"/>
  <c r="R24" i="9"/>
  <c r="S24" i="9"/>
  <c r="R82" i="15"/>
  <c r="W82" i="15"/>
  <c r="D79" i="17"/>
  <c r="B8" i="17"/>
  <c r="J57" i="9"/>
  <c r="L57" i="9"/>
  <c r="O57" i="9"/>
  <c r="Q57" i="9"/>
  <c r="R57" i="9"/>
  <c r="S57" i="9"/>
  <c r="H60" i="9"/>
  <c r="H68" i="16"/>
  <c r="H80" i="15"/>
  <c r="P9" i="15"/>
  <c r="U9" i="15"/>
  <c r="L60" i="9"/>
  <c r="K48" i="9"/>
  <c r="Q15" i="15"/>
  <c r="V15" i="15"/>
  <c r="K31" i="9"/>
  <c r="F29" i="17"/>
  <c r="H13" i="15"/>
  <c r="D88" i="15"/>
  <c r="B50" i="17"/>
  <c r="L46" i="15"/>
  <c r="F26" i="17"/>
  <c r="L134" i="15"/>
  <c r="F72" i="17"/>
  <c r="Q52" i="15"/>
  <c r="V52" i="15"/>
  <c r="O47" i="9"/>
  <c r="Q47" i="9"/>
  <c r="R47" i="9"/>
  <c r="S47" i="9"/>
  <c r="E14" i="17"/>
  <c r="L93" i="15"/>
  <c r="F52" i="17"/>
  <c r="G60" i="9"/>
  <c r="O60" i="9"/>
  <c r="Q60" i="9"/>
  <c r="R60" i="9"/>
  <c r="S60" i="9"/>
  <c r="P51" i="15"/>
  <c r="U51" i="15"/>
  <c r="E77" i="17"/>
  <c r="S116" i="15"/>
  <c r="X116" i="15"/>
  <c r="K30" i="9"/>
  <c r="S129" i="15"/>
  <c r="X129" i="15"/>
  <c r="J134" i="15"/>
  <c r="E72" i="17"/>
  <c r="C108" i="15"/>
  <c r="G16" i="9"/>
  <c r="O16" i="9"/>
  <c r="Q16" i="9"/>
  <c r="R16" i="9"/>
  <c r="S16" i="9"/>
  <c r="F83" i="17"/>
  <c r="B17" i="17"/>
  <c r="B36" i="17"/>
  <c r="B39" i="17"/>
  <c r="D42" i="17"/>
  <c r="F36" i="17"/>
  <c r="F76" i="17"/>
  <c r="F35" i="17"/>
  <c r="O18" i="9"/>
  <c r="Q18" i="9"/>
  <c r="R18" i="9"/>
  <c r="S18" i="9"/>
  <c r="F38" i="17"/>
  <c r="O36" i="9"/>
  <c r="Q36" i="9"/>
  <c r="R36" i="9"/>
  <c r="S36" i="9"/>
  <c r="F39" i="17"/>
  <c r="F59" i="17"/>
  <c r="C17" i="17"/>
  <c r="C36" i="17"/>
  <c r="C38" i="17"/>
  <c r="C8" i="17"/>
  <c r="C39" i="17"/>
  <c r="C35" i="17"/>
  <c r="C76" i="17"/>
  <c r="C59" i="17"/>
  <c r="B64" i="17"/>
  <c r="E54" i="17"/>
  <c r="B83" i="17"/>
  <c r="E83" i="17"/>
  <c r="B82" i="17"/>
  <c r="K26" i="9"/>
  <c r="I26" i="9"/>
  <c r="O26" i="9"/>
  <c r="Q26" i="9"/>
  <c r="R26" i="9"/>
  <c r="S26" i="9"/>
  <c r="F66" i="17"/>
  <c r="F37" i="17"/>
  <c r="D64" i="17"/>
  <c r="D37" i="17"/>
  <c r="O32" i="9"/>
  <c r="Q32" i="9"/>
  <c r="R32" i="9"/>
  <c r="S32" i="9"/>
  <c r="O27" i="9"/>
  <c r="Q27" i="9"/>
  <c r="R27" i="9"/>
  <c r="S27" i="9"/>
  <c r="B37" i="17"/>
  <c r="B66" i="17"/>
  <c r="AG48" i="26"/>
  <c r="AL48" i="26" s="1"/>
  <c r="AG47" i="26"/>
  <c r="AL47" i="26" s="1"/>
  <c r="AG58" i="26"/>
  <c r="AL58" i="26" s="1"/>
  <c r="AG10" i="26"/>
  <c r="AH10" i="26" s="1"/>
  <c r="AG17" i="26"/>
  <c r="AG13" i="26"/>
  <c r="AK13" i="26" s="1"/>
  <c r="AG11" i="26"/>
  <c r="D98" i="15"/>
  <c r="B53" i="17"/>
  <c r="O94" i="15"/>
  <c r="T94" i="15"/>
  <c r="H105" i="15"/>
  <c r="B15" i="17"/>
  <c r="E30" i="17"/>
  <c r="E19" i="17"/>
  <c r="B30" i="17"/>
  <c r="B43" i="17"/>
  <c r="E60" i="17"/>
  <c r="D60" i="17"/>
  <c r="R141" i="15"/>
  <c r="W141" i="15"/>
  <c r="K108" i="15"/>
  <c r="J49" i="15"/>
  <c r="E27" i="17"/>
  <c r="C64" i="17"/>
  <c r="F75" i="17"/>
  <c r="S141" i="15"/>
  <c r="X141" i="15"/>
  <c r="O6" i="9"/>
  <c r="Q6" i="9"/>
  <c r="R6" i="9"/>
  <c r="S6" i="9"/>
  <c r="AG9" i="26"/>
  <c r="AI9" i="26" s="1"/>
  <c r="AI52" i="26"/>
  <c r="AH52" i="26"/>
  <c r="AJ50" i="26"/>
  <c r="G35" i="9"/>
  <c r="O35" i="9"/>
  <c r="Q35" i="9"/>
  <c r="R35" i="9"/>
  <c r="S35" i="9"/>
  <c r="G17" i="9"/>
  <c r="AI58" i="26"/>
  <c r="AH57" i="26"/>
  <c r="AI56" i="26"/>
  <c r="AH56" i="26"/>
  <c r="AJ54" i="26"/>
  <c r="AJ53" i="26"/>
  <c r="AH51" i="26"/>
  <c r="AI49" i="26"/>
  <c r="E35" i="17"/>
  <c r="E36" i="17"/>
  <c r="E76" i="17"/>
  <c r="E8" i="17"/>
  <c r="E17" i="17"/>
  <c r="E39" i="17"/>
  <c r="E38" i="17"/>
  <c r="E59" i="17"/>
  <c r="C66" i="17"/>
  <c r="C37" i="17"/>
  <c r="D54" i="17"/>
  <c r="R42" i="15"/>
  <c r="W42" i="15"/>
  <c r="J46" i="15"/>
  <c r="E26" i="17"/>
  <c r="C14" i="17"/>
  <c r="C43" i="17"/>
  <c r="F15" i="17"/>
  <c r="D43" i="17"/>
  <c r="C83" i="17"/>
  <c r="P110" i="15"/>
  <c r="U110" i="15"/>
  <c r="F20" i="15"/>
  <c r="C10" i="17"/>
  <c r="P18" i="15"/>
  <c r="U18" i="15"/>
  <c r="M12" i="7"/>
  <c r="O12" i="7"/>
  <c r="P12" i="7"/>
  <c r="O11" i="9"/>
  <c r="Q11" i="9"/>
  <c r="K44" i="9"/>
  <c r="O44" i="9"/>
  <c r="Q44" i="9"/>
  <c r="R44" i="9"/>
  <c r="S44" i="9"/>
  <c r="K33" i="9"/>
  <c r="I33" i="9"/>
  <c r="O33" i="9"/>
  <c r="Q33" i="9"/>
  <c r="R33" i="9"/>
  <c r="S33" i="9"/>
  <c r="O13" i="9"/>
  <c r="Q13" i="9"/>
  <c r="O25" i="7"/>
  <c r="P25" i="7"/>
  <c r="O21" i="7"/>
  <c r="P21" i="7"/>
  <c r="M20" i="7"/>
  <c r="O20" i="7"/>
  <c r="P20" i="7"/>
  <c r="M18" i="7"/>
  <c r="O18" i="7"/>
  <c r="P18" i="7"/>
  <c r="M7" i="7"/>
  <c r="O7" i="7"/>
  <c r="P7" i="7"/>
  <c r="M6" i="7"/>
  <c r="O6" i="7"/>
  <c r="P6" i="7"/>
  <c r="Q54" i="9"/>
  <c r="O52" i="9"/>
  <c r="Q52" i="9"/>
  <c r="O50" i="9"/>
  <c r="Q50" i="9"/>
  <c r="O39" i="9"/>
  <c r="Q39" i="9"/>
  <c r="G30" i="9"/>
  <c r="O30" i="9"/>
  <c r="Q30" i="9"/>
  <c r="R30" i="9"/>
  <c r="S30" i="9"/>
  <c r="O14" i="9"/>
  <c r="Q14" i="9"/>
  <c r="M5" i="9"/>
  <c r="O5" i="9"/>
  <c r="Q5" i="9"/>
  <c r="R5" i="9"/>
  <c r="S5" i="9"/>
  <c r="O3" i="9"/>
  <c r="Q3" i="9"/>
  <c r="AM56" i="26"/>
  <c r="AM52" i="26"/>
  <c r="AM48" i="26"/>
  <c r="AN56" i="26"/>
  <c r="AO56" i="26" s="1"/>
  <c r="AQ56" i="26" s="1"/>
  <c r="AN52" i="26"/>
  <c r="AO52" i="26" s="1"/>
  <c r="AM51" i="26"/>
  <c r="AN53" i="26"/>
  <c r="AO53" i="26" s="1"/>
  <c r="AN49" i="26"/>
  <c r="AO49" i="26" s="1"/>
  <c r="AK54" i="26"/>
  <c r="AK50" i="26"/>
  <c r="AL57" i="26"/>
  <c r="AL51" i="26"/>
  <c r="S94" i="15"/>
  <c r="X94" i="15"/>
  <c r="L98" i="15"/>
  <c r="F53" i="17"/>
  <c r="O73" i="15"/>
  <c r="T73" i="15"/>
  <c r="D77" i="15"/>
  <c r="B46" i="17"/>
  <c r="O42" i="15"/>
  <c r="T42" i="15"/>
  <c r="D46" i="15"/>
  <c r="B26" i="17"/>
  <c r="D11" i="17"/>
  <c r="P55" i="15"/>
  <c r="U55" i="15"/>
  <c r="K42" i="9"/>
  <c r="O42" i="9"/>
  <c r="Q42" i="9"/>
  <c r="R42" i="9"/>
  <c r="S42" i="9"/>
  <c r="I17" i="9"/>
  <c r="O17" i="9"/>
  <c r="Q17" i="9"/>
  <c r="R17" i="9"/>
  <c r="S17" i="9"/>
  <c r="AI48" i="26"/>
  <c r="AJ58" i="26"/>
  <c r="AH17" i="26"/>
  <c r="AK15" i="26"/>
  <c r="G30" i="26" s="1"/>
  <c r="AH12" i="26"/>
  <c r="AJ15" i="26"/>
  <c r="AH15" i="26"/>
  <c r="AI11" i="26"/>
  <c r="AK16" i="26"/>
  <c r="G31" i="26" s="1"/>
  <c r="AJ12" i="26"/>
  <c r="AH19" i="26"/>
  <c r="AJ18" i="26"/>
  <c r="AJ16" i="26"/>
  <c r="AI12" i="26"/>
  <c r="AK11" i="26"/>
  <c r="AK19" i="26"/>
  <c r="G34" i="26" s="1"/>
  <c r="AJ14" i="26"/>
  <c r="AI14" i="26"/>
  <c r="AH14" i="26"/>
  <c r="K14" i="31"/>
  <c r="Z3" i="26"/>
  <c r="AH18" i="26"/>
  <c r="AI17" i="26"/>
  <c r="AK18" i="26"/>
  <c r="G33" i="26" s="1"/>
  <c r="AI16" i="26"/>
  <c r="AJ19" i="26"/>
  <c r="AJ11" i="26"/>
  <c r="AI19" i="26"/>
  <c r="AJ10" i="26"/>
  <c r="AI15" i="26"/>
  <c r="AJ17" i="26"/>
  <c r="AH11" i="26"/>
  <c r="AJ9" i="26"/>
  <c r="AH16" i="26"/>
  <c r="AK12" i="26"/>
  <c r="G27" i="26" s="1"/>
  <c r="AI18" i="26"/>
  <c r="AK14" i="26"/>
  <c r="G29" i="26" s="1"/>
  <c r="AL49" i="26"/>
  <c r="AL53" i="26"/>
  <c r="AN51" i="26"/>
  <c r="AO51" i="26" s="1"/>
  <c r="AN55" i="26"/>
  <c r="AO55" i="26" s="1"/>
  <c r="AM49" i="26"/>
  <c r="AM53" i="26"/>
  <c r="AK47" i="26"/>
  <c r="AH49" i="26"/>
  <c r="AI51" i="26"/>
  <c r="AJ51" i="26"/>
  <c r="AH53" i="26"/>
  <c r="AI55" i="26"/>
  <c r="AJ55" i="26"/>
  <c r="AJ47" i="26"/>
  <c r="AH13" i="26"/>
  <c r="AI10" i="26"/>
  <c r="AJ13" i="26"/>
  <c r="AH9" i="26"/>
  <c r="AK9" i="26"/>
  <c r="AL9" i="26" s="1"/>
  <c r="H24" i="26" s="1"/>
  <c r="L22" i="31" s="1"/>
  <c r="AG21" i="31" s="1"/>
  <c r="AI13" i="26"/>
  <c r="AK58" i="26"/>
  <c r="AH58" i="26"/>
  <c r="AH48" i="26"/>
  <c r="AN48" i="26"/>
  <c r="AO48" i="26" s="1"/>
  <c r="AK48" i="26"/>
  <c r="AK52" i="26"/>
  <c r="AK56" i="26"/>
  <c r="AN57" i="26"/>
  <c r="AO57" i="26" s="1"/>
  <c r="AM57" i="26"/>
  <c r="AN50" i="26"/>
  <c r="AO50" i="26" s="1"/>
  <c r="AN54" i="26"/>
  <c r="AO54" i="26" s="1"/>
  <c r="AN58" i="26"/>
  <c r="AO58" i="26" s="1"/>
  <c r="AM50" i="26"/>
  <c r="AM54" i="26"/>
  <c r="AM58" i="26"/>
  <c r="AH54" i="26"/>
  <c r="AI54" i="26"/>
  <c r="AJ56" i="26"/>
  <c r="AI57" i="26"/>
  <c r="AJ57" i="26"/>
  <c r="AH50" i="26"/>
  <c r="AI50" i="26"/>
  <c r="AJ52" i="26"/>
  <c r="AK10" i="26"/>
  <c r="AL10" i="26" s="1"/>
  <c r="H25" i="26" s="1"/>
  <c r="L23" i="31" s="1"/>
  <c r="AL12" i="26"/>
  <c r="H27" i="26" s="1"/>
  <c r="L25" i="31" s="1"/>
  <c r="AL16" i="26"/>
  <c r="H31" i="26" s="1"/>
  <c r="L29" i="31" s="1"/>
  <c r="AL46" i="26"/>
  <c r="AJ46" i="26"/>
  <c r="AK46" i="26"/>
  <c r="AM46" i="26"/>
  <c r="AL19" i="26"/>
  <c r="H34" i="26" s="1"/>
  <c r="L32" i="31" s="1"/>
  <c r="L77" i="15"/>
  <c r="F46" i="17"/>
  <c r="S73" i="15"/>
  <c r="X73" i="15"/>
  <c r="P94" i="15"/>
  <c r="U94" i="15"/>
  <c r="F98" i="15"/>
  <c r="C53" i="17"/>
  <c r="Q100" i="15"/>
  <c r="V100" i="15"/>
  <c r="H106" i="15"/>
  <c r="E82" i="17"/>
  <c r="F30" i="17"/>
  <c r="F87" i="15"/>
  <c r="C49" i="17"/>
  <c r="P80" i="15"/>
  <c r="U80" i="15"/>
  <c r="E15" i="17"/>
  <c r="F105" i="15"/>
  <c r="C54" i="17"/>
  <c r="P99" i="15"/>
  <c r="U99" i="15"/>
  <c r="J106" i="15"/>
  <c r="R100" i="15"/>
  <c r="W100" i="15"/>
  <c r="L106" i="15"/>
  <c r="F55" i="17"/>
  <c r="S100" i="15"/>
  <c r="X100" i="15"/>
  <c r="E42" i="17"/>
  <c r="L86" i="15"/>
  <c r="F48" i="17"/>
  <c r="S79" i="15"/>
  <c r="X79" i="15"/>
  <c r="S99" i="15"/>
  <c r="X99" i="15"/>
  <c r="L105" i="15"/>
  <c r="L87" i="15"/>
  <c r="F49" i="17"/>
  <c r="S80" i="15"/>
  <c r="X80" i="15"/>
  <c r="H98" i="15"/>
  <c r="D53" i="17"/>
  <c r="Q94" i="15"/>
  <c r="V94" i="15"/>
  <c r="O15" i="9"/>
  <c r="Q15" i="9"/>
  <c r="R15" i="9"/>
  <c r="S15" i="9"/>
  <c r="G26" i="26"/>
  <c r="AL11" i="26"/>
  <c r="H26" i="26" s="1"/>
  <c r="L24" i="31" s="1"/>
  <c r="F77" i="15"/>
  <c r="C46" i="17"/>
  <c r="P73" i="15"/>
  <c r="U73" i="15"/>
  <c r="J77" i="15"/>
  <c r="E46" i="17"/>
  <c r="R73" i="15"/>
  <c r="W73" i="15"/>
  <c r="C30" i="17"/>
  <c r="D30" i="17"/>
  <c r="E11" i="17"/>
  <c r="O99" i="15"/>
  <c r="T99" i="15"/>
  <c r="D105" i="15"/>
  <c r="D38" i="17"/>
  <c r="D35" i="17"/>
  <c r="D36" i="17"/>
  <c r="D59" i="17"/>
  <c r="D39" i="17"/>
  <c r="D8" i="17"/>
  <c r="D17" i="17"/>
  <c r="D76" i="17"/>
  <c r="F82" i="17"/>
  <c r="D82" i="17"/>
  <c r="O25" i="9"/>
  <c r="Q25" i="9"/>
  <c r="R25" i="9"/>
  <c r="S25" i="9"/>
  <c r="D66" i="17"/>
  <c r="AG45" i="26"/>
  <c r="AL45" i="26" s="1"/>
  <c r="AG44" i="26"/>
  <c r="D108" i="15"/>
  <c r="B57" i="17"/>
  <c r="B21" i="17" s="1"/>
  <c r="B54" i="17"/>
  <c r="D55" i="17"/>
  <c r="H108" i="15"/>
  <c r="D57" i="17"/>
  <c r="D81" i="17" s="1"/>
  <c r="L108" i="15"/>
  <c r="F57" i="17"/>
  <c r="F21" i="17" s="1"/>
  <c r="F54" i="17"/>
  <c r="E55" i="17"/>
  <c r="J108" i="15"/>
  <c r="E57" i="17"/>
  <c r="E22" i="17" s="1"/>
  <c r="F22" i="17"/>
  <c r="F81" i="17"/>
  <c r="F20" i="17"/>
  <c r="AP56" i="26"/>
  <c r="C11" i="17"/>
  <c r="Q80" i="15"/>
  <c r="V80" i="15"/>
  <c r="H87" i="15"/>
  <c r="D49" i="17"/>
  <c r="O80" i="15"/>
  <c r="T80" i="15"/>
  <c r="D87" i="15"/>
  <c r="B49" i="17"/>
  <c r="R80" i="15"/>
  <c r="W80" i="15"/>
  <c r="J87" i="15"/>
  <c r="E49" i="17"/>
  <c r="R79" i="15"/>
  <c r="W79" i="15"/>
  <c r="J86" i="15"/>
  <c r="E48" i="17"/>
  <c r="H86" i="15"/>
  <c r="D48" i="17"/>
  <c r="Q79" i="15"/>
  <c r="V79" i="15"/>
  <c r="E21" i="17"/>
  <c r="D20" i="17"/>
  <c r="D22" i="17"/>
  <c r="D21" i="17"/>
  <c r="S82" i="15"/>
  <c r="X82" i="15"/>
  <c r="L88" i="15"/>
  <c r="F50" i="17"/>
  <c r="P79" i="15"/>
  <c r="U79" i="15"/>
  <c r="F86" i="15"/>
  <c r="C48" i="17"/>
  <c r="C15" i="17"/>
  <c r="D15" i="17"/>
  <c r="AI46" i="26"/>
  <c r="AI47" i="26"/>
  <c r="AH46" i="26"/>
  <c r="AN46" i="26"/>
  <c r="AO46" i="26" s="1"/>
  <c r="AP46" i="26" s="1"/>
  <c r="AH47" i="26"/>
  <c r="AN47" i="26"/>
  <c r="AO47" i="26" s="1"/>
  <c r="F108" i="15"/>
  <c r="C57" i="17"/>
  <c r="C21" i="17" s="1"/>
  <c r="O31" i="9"/>
  <c r="Q31" i="9"/>
  <c r="R31" i="9"/>
  <c r="S31" i="9"/>
  <c r="H88" i="15"/>
  <c r="D50" i="17"/>
  <c r="Q82" i="15"/>
  <c r="V82" i="15"/>
  <c r="AJ48" i="26"/>
  <c r="F11" i="17"/>
  <c r="AI16" i="31"/>
  <c r="AO16" i="31" s="1"/>
  <c r="AU17" i="31" s="1"/>
  <c r="U80" i="31"/>
  <c r="L38" i="26"/>
  <c r="G39" i="26" s="1"/>
  <c r="L15" i="26"/>
  <c r="E15" i="26"/>
  <c r="AG6" i="26"/>
  <c r="AG8" i="26"/>
  <c r="AI8" i="26" s="1"/>
  <c r="AG5" i="26"/>
  <c r="AJ5" i="26" s="1"/>
  <c r="AG7" i="26"/>
  <c r="AJ7" i="26" s="1"/>
  <c r="AM2" i="26"/>
  <c r="E50" i="31" s="1"/>
  <c r="AK45" i="26"/>
  <c r="AL14" i="26"/>
  <c r="H29" i="26" s="1"/>
  <c r="L27" i="31" s="1"/>
  <c r="AL55" i="26"/>
  <c r="AM47" i="26"/>
  <c r="AM55" i="26"/>
  <c r="AJ49" i="26"/>
  <c r="AI53" i="26"/>
  <c r="AH55" i="26"/>
  <c r="AG2" i="23"/>
  <c r="AG23" i="31"/>
  <c r="AF26" i="31"/>
  <c r="AF31" i="31"/>
  <c r="AF22" i="31"/>
  <c r="AF28" i="31"/>
  <c r="AN45" i="26"/>
  <c r="AO45" i="26" s="1"/>
  <c r="AM45" i="26"/>
  <c r="AJ8" i="26"/>
  <c r="AI5" i="26"/>
  <c r="AI6" i="26"/>
  <c r="AJ6" i="26"/>
  <c r="AF21" i="31" l="1"/>
  <c r="G25" i="26"/>
  <c r="AI7" i="26"/>
  <c r="AJ45" i="26"/>
  <c r="G28" i="26"/>
  <c r="AL13" i="26"/>
  <c r="H28" i="26" s="1"/>
  <c r="L26" i="31" s="1"/>
  <c r="AH26" i="31"/>
  <c r="AH25" i="31"/>
  <c r="S80" i="31"/>
  <c r="AE16" i="31"/>
  <c r="AK16" i="31" s="1"/>
  <c r="AQ17" i="31" s="1"/>
  <c r="AE22" i="31"/>
  <c r="AE23" i="31"/>
  <c r="AE24" i="31"/>
  <c r="AH44" i="26"/>
  <c r="AK44" i="26"/>
  <c r="AI44" i="26"/>
  <c r="AK17" i="26"/>
  <c r="AM44" i="26"/>
  <c r="AN44" i="26"/>
  <c r="AO44" i="26" s="1"/>
  <c r="AJ44" i="26"/>
  <c r="AQ52" i="26"/>
  <c r="I51" i="26"/>
  <c r="AH22" i="31"/>
  <c r="AH31" i="31"/>
  <c r="AH28" i="31"/>
  <c r="AH16" i="31"/>
  <c r="AN16" i="31" s="1"/>
  <c r="AT17" i="31" s="1"/>
  <c r="AG24" i="31"/>
  <c r="AG26" i="31"/>
  <c r="AG22" i="31"/>
  <c r="AG28" i="31"/>
  <c r="AG31" i="31"/>
  <c r="AG16" i="31"/>
  <c r="AM16" i="31" s="1"/>
  <c r="AS17" i="31" s="1"/>
  <c r="Q80" i="31"/>
  <c r="N38" i="26"/>
  <c r="O65" i="31"/>
  <c r="AE25" i="31"/>
  <c r="AE31" i="31"/>
  <c r="AE26" i="31"/>
  <c r="AE28" i="31"/>
  <c r="AE21" i="31"/>
  <c r="N15" i="26"/>
  <c r="G16" i="26"/>
  <c r="AH23" i="31"/>
  <c r="AH21" i="31"/>
  <c r="AH24" i="31"/>
  <c r="AH45" i="26"/>
  <c r="AI45" i="26"/>
  <c r="AF16" i="31"/>
  <c r="AL16" i="31" s="1"/>
  <c r="AR17" i="31" s="1"/>
  <c r="AF24" i="31"/>
  <c r="O80" i="31"/>
  <c r="AF23" i="31"/>
  <c r="J51" i="26"/>
  <c r="Y26" i="31" s="1"/>
  <c r="AC26" i="31" s="1"/>
  <c r="AR52" i="26"/>
  <c r="AP52" i="26"/>
  <c r="AL18" i="26"/>
  <c r="H33" i="26" s="1"/>
  <c r="L31" i="31" s="1"/>
  <c r="AE30" i="31" s="1"/>
  <c r="G24" i="26"/>
  <c r="I55" i="26"/>
  <c r="AL15" i="26"/>
  <c r="H30" i="26" s="1"/>
  <c r="L28" i="31" s="1"/>
  <c r="I45" i="26"/>
  <c r="AQ46" i="26"/>
  <c r="AH8" i="26"/>
  <c r="AK8" i="26" s="1"/>
  <c r="AH7" i="26"/>
  <c r="AK7" i="26" s="1"/>
  <c r="AH5" i="26"/>
  <c r="AK5" i="26" s="1"/>
  <c r="AH6" i="26"/>
  <c r="AK6" i="26" s="1"/>
  <c r="AL44" i="26"/>
  <c r="AP45" i="26"/>
  <c r="AQ45" i="26"/>
  <c r="I44" i="26"/>
  <c r="I47" i="26"/>
  <c r="AP48" i="26"/>
  <c r="AQ48" i="26"/>
  <c r="C20" i="17"/>
  <c r="C81" i="17"/>
  <c r="C22" i="17"/>
  <c r="B22" i="17"/>
  <c r="E81" i="17"/>
  <c r="E20" i="17"/>
  <c r="B20" i="17"/>
  <c r="B81" i="17"/>
  <c r="I53" i="26"/>
  <c r="AP54" i="26"/>
  <c r="AQ54" i="26"/>
  <c r="I57" i="26"/>
  <c r="AP58" i="26"/>
  <c r="AQ58" i="26"/>
  <c r="I49" i="26"/>
  <c r="AP50" i="26"/>
  <c r="AQ50" i="26"/>
  <c r="AL56" i="26"/>
  <c r="AK55" i="26"/>
  <c r="AL54" i="26"/>
  <c r="AK53" i="26"/>
  <c r="AL52" i="26"/>
  <c r="AK51" i="26"/>
  <c r="AL50" i="26"/>
  <c r="AK49" i="26"/>
  <c r="AP55" i="26"/>
  <c r="I54" i="26"/>
  <c r="AQ55" i="26"/>
  <c r="AQ47" i="26"/>
  <c r="AR47" i="26" s="1"/>
  <c r="AP47" i="26"/>
  <c r="I46" i="26"/>
  <c r="AP51" i="26"/>
  <c r="I50" i="26"/>
  <c r="AQ51" i="26"/>
  <c r="O26" i="31"/>
  <c r="AI25" i="31"/>
  <c r="O27" i="31"/>
  <c r="AI26" i="31"/>
  <c r="O29" i="31"/>
  <c r="AI28" i="31"/>
  <c r="AI22" i="31"/>
  <c r="O23" i="31"/>
  <c r="AI27" i="31"/>
  <c r="I52" i="26"/>
  <c r="AP53" i="26"/>
  <c r="AQ53" i="26"/>
  <c r="J55" i="26"/>
  <c r="Y30" i="31" s="1"/>
  <c r="AK29" i="31" s="1"/>
  <c r="AR56" i="26"/>
  <c r="AI30" i="31"/>
  <c r="O31" i="31"/>
  <c r="AI23" i="31"/>
  <c r="O24" i="31"/>
  <c r="AI31" i="31"/>
  <c r="O32" i="31"/>
  <c r="AI24" i="31"/>
  <c r="O25" i="31"/>
  <c r="AP57" i="26"/>
  <c r="I56" i="26"/>
  <c r="AQ57" i="26"/>
  <c r="I48" i="26"/>
  <c r="AQ49" i="26"/>
  <c r="AP49" i="26"/>
  <c r="AP44" i="26"/>
  <c r="AQ44" i="26"/>
  <c r="I43" i="26"/>
  <c r="O22" i="31"/>
  <c r="AI21" i="31"/>
  <c r="AF30" i="31" l="1"/>
  <c r="O28" i="31"/>
  <c r="AG27" i="31"/>
  <c r="AL25" i="31"/>
  <c r="AM29" i="31"/>
  <c r="AH30" i="31"/>
  <c r="AN25" i="31"/>
  <c r="AL29" i="31"/>
  <c r="AF27" i="31"/>
  <c r="AM25" i="31"/>
  <c r="AG30" i="31"/>
  <c r="AH27" i="31"/>
  <c r="AN29" i="31"/>
  <c r="AG25" i="31"/>
  <c r="AF25" i="31"/>
  <c r="AE27" i="31"/>
  <c r="AK25" i="31"/>
  <c r="G20" i="26"/>
  <c r="AL5" i="26"/>
  <c r="H20" i="26" s="1"/>
  <c r="L18" i="31" s="1"/>
  <c r="G23" i="26"/>
  <c r="AL8" i="26"/>
  <c r="H23" i="26" s="1"/>
  <c r="L21" i="31" s="1"/>
  <c r="AH20" i="31" s="1"/>
  <c r="G21" i="26"/>
  <c r="AL6" i="26"/>
  <c r="H21" i="26" s="1"/>
  <c r="L19" i="31" s="1"/>
  <c r="AF18" i="31" s="1"/>
  <c r="AL7" i="26"/>
  <c r="H22" i="26" s="1"/>
  <c r="L20" i="31" s="1"/>
  <c r="G22" i="26"/>
  <c r="AL17" i="26"/>
  <c r="H32" i="26" s="1"/>
  <c r="L30" i="31" s="1"/>
  <c r="G32" i="26"/>
  <c r="AO25" i="31"/>
  <c r="J46" i="26"/>
  <c r="Y21" i="31" s="1"/>
  <c r="K51" i="26"/>
  <c r="AA26" i="31"/>
  <c r="AR46" i="26"/>
  <c r="J45" i="26"/>
  <c r="Y20" i="31" s="1"/>
  <c r="J47" i="26"/>
  <c r="Y22" i="31" s="1"/>
  <c r="AR48" i="26"/>
  <c r="AR45" i="26"/>
  <c r="J44" i="26"/>
  <c r="Y19" i="31" s="1"/>
  <c r="AR58" i="26"/>
  <c r="J57" i="26"/>
  <c r="Y32" i="31" s="1"/>
  <c r="J49" i="26"/>
  <c r="Y24" i="31" s="1"/>
  <c r="AR50" i="26"/>
  <c r="J53" i="26"/>
  <c r="Y28" i="31" s="1"/>
  <c r="AR54" i="26"/>
  <c r="J50" i="26"/>
  <c r="Y25" i="31" s="1"/>
  <c r="AR51" i="26"/>
  <c r="J54" i="26"/>
  <c r="Y29" i="31" s="1"/>
  <c r="AR55" i="26"/>
  <c r="AR49" i="26"/>
  <c r="J48" i="26"/>
  <c r="Y23" i="31" s="1"/>
  <c r="J56" i="26"/>
  <c r="Y31" i="31" s="1"/>
  <c r="AR57" i="26"/>
  <c r="AO29" i="31"/>
  <c r="AC30" i="31"/>
  <c r="AA21" i="31"/>
  <c r="K46" i="26"/>
  <c r="AA30" i="31"/>
  <c r="K55" i="26"/>
  <c r="AR53" i="26"/>
  <c r="J52" i="26"/>
  <c r="Y27" i="31" s="1"/>
  <c r="AO20" i="31"/>
  <c r="AC21" i="31"/>
  <c r="J43" i="26"/>
  <c r="AR44" i="26"/>
  <c r="AE17" i="31"/>
  <c r="AK26" i="31" l="1"/>
  <c r="AM26" i="31"/>
  <c r="AL26" i="31"/>
  <c r="AN26" i="31"/>
  <c r="AK22" i="31"/>
  <c r="AL22" i="31"/>
  <c r="AN22" i="31"/>
  <c r="AM22" i="31"/>
  <c r="AK31" i="31"/>
  <c r="AM31" i="31"/>
  <c r="AN31" i="31"/>
  <c r="AL31" i="31"/>
  <c r="AK18" i="31"/>
  <c r="AN18" i="31"/>
  <c r="AL18" i="31"/>
  <c r="AM18" i="31"/>
  <c r="AK19" i="31"/>
  <c r="AM19" i="31"/>
  <c r="AN19" i="31"/>
  <c r="AL19" i="31"/>
  <c r="AK30" i="31"/>
  <c r="AM30" i="31"/>
  <c r="AL30" i="31"/>
  <c r="AN30" i="31"/>
  <c r="AK28" i="31"/>
  <c r="AL28" i="31"/>
  <c r="AN28" i="31"/>
  <c r="AM28" i="31"/>
  <c r="AK24" i="31"/>
  <c r="AN24" i="31"/>
  <c r="AM24" i="31"/>
  <c r="AL24" i="31"/>
  <c r="AK27" i="31"/>
  <c r="AL27" i="31"/>
  <c r="AM27" i="31"/>
  <c r="AN27" i="31"/>
  <c r="AK23" i="31"/>
  <c r="AM23" i="31"/>
  <c r="AN23" i="31"/>
  <c r="AL23" i="31"/>
  <c r="AK21" i="31"/>
  <c r="AL21" i="31"/>
  <c r="AM21" i="31"/>
  <c r="AN21" i="31"/>
  <c r="AK20" i="31"/>
  <c r="AL20" i="31"/>
  <c r="AM20" i="31"/>
  <c r="AN20" i="31"/>
  <c r="AE29" i="31"/>
  <c r="AG29" i="31"/>
  <c r="AF29" i="31"/>
  <c r="AH29" i="31"/>
  <c r="S20" i="26"/>
  <c r="S21" i="26" s="1"/>
  <c r="S22" i="26" s="1"/>
  <c r="AI20" i="31"/>
  <c r="AE20" i="31"/>
  <c r="AG20" i="31"/>
  <c r="AF20" i="31"/>
  <c r="AE19" i="31"/>
  <c r="AF19" i="31"/>
  <c r="AH19" i="31"/>
  <c r="AG18" i="31"/>
  <c r="AH18" i="31"/>
  <c r="AE18" i="31"/>
  <c r="AE32" i="31" s="1"/>
  <c r="AI17" i="31"/>
  <c r="AF17" i="31"/>
  <c r="AF32" i="31" s="1"/>
  <c r="AH17" i="31"/>
  <c r="AH32" i="31" s="1"/>
  <c r="AG17" i="31"/>
  <c r="O21" i="31"/>
  <c r="O38" i="31"/>
  <c r="O39" i="31" s="1"/>
  <c r="O18" i="31"/>
  <c r="AI18" i="31"/>
  <c r="O19" i="31"/>
  <c r="AI19" i="31"/>
  <c r="AG19" i="31"/>
  <c r="O20" i="31"/>
  <c r="O30" i="31"/>
  <c r="AI29" i="31"/>
  <c r="AI32" i="31" s="1"/>
  <c r="AO19" i="31"/>
  <c r="AC20" i="31"/>
  <c r="K45" i="26"/>
  <c r="AA20" i="31"/>
  <c r="AC19" i="31"/>
  <c r="AO18" i="31"/>
  <c r="AA22" i="31"/>
  <c r="K47" i="26"/>
  <c r="AA19" i="31"/>
  <c r="K44" i="26"/>
  <c r="AC22" i="31"/>
  <c r="AO21" i="31"/>
  <c r="AA28" i="31"/>
  <c r="K53" i="26"/>
  <c r="K49" i="26"/>
  <c r="AA24" i="31"/>
  <c r="AC32" i="31"/>
  <c r="AO31" i="31"/>
  <c r="AO27" i="31"/>
  <c r="AC28" i="31"/>
  <c r="AC24" i="31"/>
  <c r="AO23" i="31"/>
  <c r="AA32" i="31"/>
  <c r="K57" i="26"/>
  <c r="K54" i="26"/>
  <c r="AA29" i="31"/>
  <c r="K50" i="26"/>
  <c r="AA25" i="31"/>
  <c r="AO28" i="31"/>
  <c r="AC29" i="31"/>
  <c r="AC25" i="31"/>
  <c r="AO24" i="31"/>
  <c r="AO26" i="31"/>
  <c r="AC27" i="31"/>
  <c r="K56" i="26"/>
  <c r="AA31" i="31"/>
  <c r="AO22" i="31"/>
  <c r="AC23" i="31"/>
  <c r="K52" i="26"/>
  <c r="AA27" i="31"/>
  <c r="AO30" i="31"/>
  <c r="AC31" i="31"/>
  <c r="AA23" i="31"/>
  <c r="K48" i="26"/>
  <c r="AA18" i="31"/>
  <c r="K43" i="26"/>
  <c r="S43" i="26"/>
  <c r="Y18" i="31"/>
  <c r="AO17" i="31" l="1"/>
  <c r="AO32" i="31" s="1"/>
  <c r="AU18" i="31" s="1"/>
  <c r="AU19" i="31" s="1"/>
  <c r="I54" i="31" s="1"/>
  <c r="AN17" i="31"/>
  <c r="AK17" i="31"/>
  <c r="AM17" i="31"/>
  <c r="AM32" i="31"/>
  <c r="AN32" i="31"/>
  <c r="AT18" i="31" s="1"/>
  <c r="AT19" i="31" s="1"/>
  <c r="I53" i="31" s="1"/>
  <c r="AK32" i="31"/>
  <c r="AQ18" i="31" s="1"/>
  <c r="AQ19" i="31" s="1"/>
  <c r="I50" i="31" s="1"/>
  <c r="AG32" i="31"/>
  <c r="Q25" i="31"/>
  <c r="U82" i="31"/>
  <c r="K54" i="31"/>
  <c r="AL17" i="31"/>
  <c r="AL32" i="31" s="1"/>
  <c r="AR18" i="31" s="1"/>
  <c r="AR19" i="31" s="1"/>
  <c r="I51" i="31" s="1"/>
  <c r="AC18" i="31"/>
  <c r="Q38" i="31"/>
  <c r="S44" i="26"/>
  <c r="N45" i="26" s="1"/>
  <c r="K11" i="26"/>
  <c r="AS18" i="31" l="1"/>
  <c r="AS19" i="31" s="1"/>
  <c r="I52" i="31" s="1"/>
  <c r="K52" i="31" s="1"/>
  <c r="Q84" i="31" s="1"/>
  <c r="Q86" i="31" s="1"/>
  <c r="Q88" i="31" s="1"/>
  <c r="K53" i="31"/>
  <c r="M53" i="31" s="1"/>
  <c r="S82" i="31"/>
  <c r="O67" i="31"/>
  <c r="K50" i="31"/>
  <c r="S84" i="31"/>
  <c r="S86" i="31" s="1"/>
  <c r="S88" i="31" s="1"/>
  <c r="M54" i="31"/>
  <c r="U84" i="31"/>
  <c r="U86" i="31" s="1"/>
  <c r="U88" i="31" s="1"/>
  <c r="Q39" i="31"/>
  <c r="N39" i="31" s="1"/>
  <c r="N38" i="31"/>
  <c r="O82" i="31"/>
  <c r="K51" i="31"/>
  <c r="O84" i="31" s="1"/>
  <c r="O86" i="31" s="1"/>
  <c r="O88" i="31" s="1"/>
  <c r="Q82" i="31" l="1"/>
  <c r="O69" i="31"/>
  <c r="O71" i="31" s="1"/>
  <c r="O73" i="31" s="1"/>
  <c r="M50" i="31"/>
</calcChain>
</file>

<file path=xl/sharedStrings.xml><?xml version="1.0" encoding="utf-8"?>
<sst xmlns="http://schemas.openxmlformats.org/spreadsheetml/2006/main" count="3753" uniqueCount="614">
  <si>
    <t>Alnus glutinosa</t>
  </si>
  <si>
    <t>Fraxinus spp.</t>
  </si>
  <si>
    <t>Betula spp.</t>
  </si>
  <si>
    <t>Abies alba</t>
  </si>
  <si>
    <t>Acacia spp.</t>
  </si>
  <si>
    <t>Ailanthus altissima</t>
  </si>
  <si>
    <t>Alnus spp.</t>
  </si>
  <si>
    <t>Amelanchier ovalis</t>
  </si>
  <si>
    <t>Arbutus unedo</t>
  </si>
  <si>
    <t>Carpinus betulus</t>
  </si>
  <si>
    <t>Castanea sativa</t>
  </si>
  <si>
    <t>Cedrus atlantica</t>
  </si>
  <si>
    <t>Celtis australis</t>
  </si>
  <si>
    <t>Chamaecyparis lawsoniana</t>
  </si>
  <si>
    <t>Cornus sanguinea</t>
  </si>
  <si>
    <t>Corylus avellana</t>
  </si>
  <si>
    <t>Crataegus monogyna</t>
  </si>
  <si>
    <t>Crataegus spp.</t>
  </si>
  <si>
    <t>Cupressus arizonica</t>
  </si>
  <si>
    <t>Cupressus macrocarpa</t>
  </si>
  <si>
    <t>Cupressus sempervirens</t>
  </si>
  <si>
    <t>Erica arborea</t>
  </si>
  <si>
    <t>Eucalyptus camaldulensis</t>
  </si>
  <si>
    <t>Eucalyptus globulus</t>
  </si>
  <si>
    <t>Fagus sylvatica</t>
  </si>
  <si>
    <t>Ilex aquifolium</t>
  </si>
  <si>
    <t>Ilex canariensis</t>
  </si>
  <si>
    <t>Laurus azorica</t>
  </si>
  <si>
    <t>Laurus nobilis</t>
  </si>
  <si>
    <t>Malus sylvestris</t>
  </si>
  <si>
    <t>Mezcla de árboles de ribera</t>
  </si>
  <si>
    <t>Mezcla de coníferas</t>
  </si>
  <si>
    <t>Mezcla de pequeñas frondosas</t>
  </si>
  <si>
    <t>Myrica faya</t>
  </si>
  <si>
    <t>Myrtus communis</t>
  </si>
  <si>
    <t>Otras coníferas</t>
  </si>
  <si>
    <t>Otras frondosas</t>
  </si>
  <si>
    <t>Otros pinos</t>
  </si>
  <si>
    <t>Otros quercus</t>
  </si>
  <si>
    <t>Phillyrea latifolia</t>
  </si>
  <si>
    <t>Phoenix spp.</t>
  </si>
  <si>
    <t>Picea abies</t>
  </si>
  <si>
    <t>Pinus canariensis</t>
  </si>
  <si>
    <t>Pinus halepensis</t>
  </si>
  <si>
    <t>Pinus nigra</t>
  </si>
  <si>
    <t>Pinus pinaster (Norte)</t>
  </si>
  <si>
    <t>Pinus pinea</t>
  </si>
  <si>
    <t>Pinus radiata</t>
  </si>
  <si>
    <t>Pinus sylvestris</t>
  </si>
  <si>
    <t>Pinus uncinata</t>
  </si>
  <si>
    <t>Pistacia terebinthus</t>
  </si>
  <si>
    <t>Platanus hispanica</t>
  </si>
  <si>
    <t>Populus nigra</t>
  </si>
  <si>
    <t>Prunus spinosa</t>
  </si>
  <si>
    <t>Prunus spp.</t>
  </si>
  <si>
    <t>Pyrus spp.</t>
  </si>
  <si>
    <t>Quercus</t>
  </si>
  <si>
    <t>Quercus faginea</t>
  </si>
  <si>
    <t>Quercus ilex</t>
  </si>
  <si>
    <t>Quercus petraea</t>
  </si>
  <si>
    <t>Quercus pubescens (Q. humilis)</t>
  </si>
  <si>
    <t>Quercus pyrenaica</t>
  </si>
  <si>
    <t>Quercus robur</t>
  </si>
  <si>
    <t>Rhamnus alaternus</t>
  </si>
  <si>
    <t>Robinia pseudacacia</t>
  </si>
  <si>
    <t>Sorbus aria</t>
  </si>
  <si>
    <t>Sorbus aucuparia</t>
  </si>
  <si>
    <t>Sorbus spp.</t>
  </si>
  <si>
    <t>Sorbus torminalis</t>
  </si>
  <si>
    <t>Taxus baccata</t>
  </si>
  <si>
    <t>Tetraclinis articulata</t>
  </si>
  <si>
    <t>Thuja spp.</t>
  </si>
  <si>
    <t>Tilia spp.</t>
  </si>
  <si>
    <t>Ulmus spp.</t>
  </si>
  <si>
    <t>Mezcla de frondosas de gran porte</t>
  </si>
  <si>
    <t>Fuente</t>
  </si>
  <si>
    <t>Observaciones</t>
  </si>
  <si>
    <t>Madrigal Collazo, J.G. Alvarez Gonzáles, R. Rodríguez Soalleriro, A. Rojo Alboreca. Fundación Conde del Valle de Salazar. Madrid, 1999, Tablas de producción para los montes españoles.</t>
  </si>
  <si>
    <t>Tabla 7 de las Tablas nacionales del IFN1 para las especies que están disponibles en las publicaciones “Las Coníferas en el primer Inventario Forestal Nacional” y “Las Frondosas en el primer Inventario Forestal Nacional”.</t>
  </si>
  <si>
    <t>Tabla 201 del IFN3 y Ajustes parabólicos D-t del IFN1 que están disponibles en las publicaciones “Las Coníferas en el primer Inventario Forestal Nacional” y “Las Frondosas en el primer Inventario Forestal Nacional”.</t>
  </si>
  <si>
    <t>Tabla 402 del IFN3 y Ajustes parabólicos D-t del IFN1 que están disponibles en las publicaciones “Las Coníferas en el primer Inventario Forestal Nacional” y “Las Frondosas en el primer Inventario Forestal Nacional”.</t>
  </si>
  <si>
    <t>Tablas producción</t>
  </si>
  <si>
    <t>Tabla 7 IFN1</t>
  </si>
  <si>
    <t>D-t IFN1 - 201 IFN3</t>
  </si>
  <si>
    <t>D-t IFN1 - 402 IFN3</t>
  </si>
  <si>
    <t>Montero, 2014</t>
  </si>
  <si>
    <t>D-t IFN1 - Montero, 2005</t>
  </si>
  <si>
    <t>1.</t>
  </si>
  <si>
    <t>2.</t>
  </si>
  <si>
    <t>3.</t>
  </si>
  <si>
    <t>4.</t>
  </si>
  <si>
    <t>5.</t>
  </si>
  <si>
    <t>6.</t>
  </si>
  <si>
    <t>Especie</t>
  </si>
  <si>
    <t>Sistema Ibérico</t>
  </si>
  <si>
    <t>Norte España</t>
  </si>
  <si>
    <t>Pirineos</t>
  </si>
  <si>
    <t>Prunus avium</t>
  </si>
  <si>
    <t>Quercus rubra</t>
  </si>
  <si>
    <t>Región</t>
  </si>
  <si>
    <t>-</t>
  </si>
  <si>
    <t>FUENTE</t>
  </si>
  <si>
    <t>ASUNCIÓN</t>
  </si>
  <si>
    <t>Especies</t>
  </si>
  <si>
    <t>Eucalyptus rostrata</t>
  </si>
  <si>
    <t>Pinus pinaster (resto)</t>
  </si>
  <si>
    <t>Quercus suber</t>
  </si>
  <si>
    <t>Juniperus thurifera</t>
  </si>
  <si>
    <t>Fraxinus excelsior</t>
  </si>
  <si>
    <t>Pinus pinaster</t>
  </si>
  <si>
    <t>Populus alba</t>
  </si>
  <si>
    <r>
      <t>V20 (m</t>
    </r>
    <r>
      <rPr>
        <vertAlign val="superscript"/>
        <sz val="11"/>
        <color indexed="9"/>
        <rFont val="Calibri"/>
        <family val="2"/>
      </rPr>
      <t>3</t>
    </r>
    <r>
      <rPr>
        <sz val="11"/>
        <color indexed="9"/>
        <rFont val="Calibri"/>
        <family val="2"/>
      </rPr>
      <t>/pie)</t>
    </r>
  </si>
  <si>
    <r>
      <t>V25 (m</t>
    </r>
    <r>
      <rPr>
        <vertAlign val="superscript"/>
        <sz val="11"/>
        <color indexed="9"/>
        <rFont val="Calibri"/>
        <family val="2"/>
      </rPr>
      <t>3</t>
    </r>
    <r>
      <rPr>
        <sz val="11"/>
        <color indexed="9"/>
        <rFont val="Calibri"/>
        <family val="2"/>
      </rPr>
      <t>/pie)</t>
    </r>
  </si>
  <si>
    <r>
      <t>V30 (m</t>
    </r>
    <r>
      <rPr>
        <vertAlign val="superscript"/>
        <sz val="11"/>
        <color indexed="8"/>
        <rFont val="Calibri"/>
        <family val="2"/>
      </rPr>
      <t>3</t>
    </r>
    <r>
      <rPr>
        <sz val="11"/>
        <color theme="1"/>
        <rFont val="Calibri"/>
        <family val="2"/>
        <scheme val="minor"/>
      </rPr>
      <t>/pie)</t>
    </r>
  </si>
  <si>
    <r>
      <t>V40 (m</t>
    </r>
    <r>
      <rPr>
        <vertAlign val="superscript"/>
        <sz val="11"/>
        <color indexed="8"/>
        <rFont val="Calibri"/>
        <family val="2"/>
      </rPr>
      <t>3</t>
    </r>
    <r>
      <rPr>
        <sz val="11"/>
        <color theme="1"/>
        <rFont val="Calibri"/>
        <family val="2"/>
        <scheme val="minor"/>
      </rPr>
      <t>/pie)</t>
    </r>
  </si>
  <si>
    <r>
      <t>V35 (m</t>
    </r>
    <r>
      <rPr>
        <vertAlign val="superscript"/>
        <sz val="11"/>
        <color indexed="8"/>
        <rFont val="Calibri"/>
        <family val="2"/>
      </rPr>
      <t>3</t>
    </r>
    <r>
      <rPr>
        <sz val="11"/>
        <color theme="1"/>
        <rFont val="Calibri"/>
        <family val="2"/>
        <scheme val="minor"/>
      </rPr>
      <t>/pie)</t>
    </r>
  </si>
  <si>
    <r>
      <t>Abs 20 
(t CO</t>
    </r>
    <r>
      <rPr>
        <vertAlign val="subscript"/>
        <sz val="11"/>
        <color indexed="9"/>
        <rFont val="Calibri"/>
        <family val="2"/>
      </rPr>
      <t>2</t>
    </r>
    <r>
      <rPr>
        <sz val="11"/>
        <color indexed="9"/>
        <rFont val="Calibri"/>
        <family val="2"/>
      </rPr>
      <t>/pie)</t>
    </r>
  </si>
  <si>
    <r>
      <t>Abs 25 
(t CO</t>
    </r>
    <r>
      <rPr>
        <vertAlign val="subscript"/>
        <sz val="11"/>
        <color indexed="9"/>
        <rFont val="Calibri"/>
        <family val="2"/>
      </rPr>
      <t>2</t>
    </r>
    <r>
      <rPr>
        <sz val="11"/>
        <color indexed="9"/>
        <rFont val="Calibri"/>
        <family val="2"/>
      </rPr>
      <t>/pie)</t>
    </r>
  </si>
  <si>
    <r>
      <t>Abs 30 
(t CO</t>
    </r>
    <r>
      <rPr>
        <vertAlign val="subscript"/>
        <sz val="11"/>
        <color indexed="8"/>
        <rFont val="Calibri"/>
        <family val="2"/>
      </rPr>
      <t>2</t>
    </r>
    <r>
      <rPr>
        <sz val="11"/>
        <color theme="1"/>
        <rFont val="Calibri"/>
        <family val="2"/>
        <scheme val="minor"/>
      </rPr>
      <t>/pie)</t>
    </r>
  </si>
  <si>
    <r>
      <t>Abs 35 
(t CO</t>
    </r>
    <r>
      <rPr>
        <vertAlign val="subscript"/>
        <sz val="11"/>
        <color indexed="8"/>
        <rFont val="Calibri"/>
        <family val="2"/>
      </rPr>
      <t>2</t>
    </r>
    <r>
      <rPr>
        <sz val="11"/>
        <color theme="1"/>
        <rFont val="Calibri"/>
        <family val="2"/>
        <scheme val="minor"/>
      </rPr>
      <t xml:space="preserve">/pie) </t>
    </r>
  </si>
  <si>
    <r>
      <t>Abs 40 
(t CO</t>
    </r>
    <r>
      <rPr>
        <vertAlign val="subscript"/>
        <sz val="11"/>
        <color indexed="8"/>
        <rFont val="Calibri"/>
        <family val="2"/>
      </rPr>
      <t>2</t>
    </r>
    <r>
      <rPr>
        <sz val="11"/>
        <color theme="1"/>
        <rFont val="Calibri"/>
        <family val="2"/>
        <scheme val="minor"/>
      </rPr>
      <t>/pie)</t>
    </r>
  </si>
  <si>
    <t>Para edades 20 y 25 se ha considerado crecimiento lineal.</t>
  </si>
  <si>
    <t>Sin ajustes (datos de la tabla)</t>
  </si>
  <si>
    <t>Para la edad 40 se ha utilizado una ecuación de segundo grado.</t>
  </si>
  <si>
    <t>Para edades 25 y 35 se ha utilizado una ecuación de tercer grado.</t>
  </si>
  <si>
    <t>Para edades 30 y 40 se ha utilizado una ecuación de tercer grado.</t>
  </si>
  <si>
    <t>Para edades 25, 35 y 40 se ha utilizado una ecuación de tercer grado.</t>
  </si>
  <si>
    <t>Para edades 20, 25 y 35 se ha utilizado una ecuación de tercer grado.</t>
  </si>
  <si>
    <t>Para edades 20, 25 y 35 se ha considerado crecimiento lineal.</t>
  </si>
  <si>
    <t>Se escoge la mejor calidad de entre las existentes para cada especie y región.
Para las edades para las que no existe dato, se utiliza ecuación polinómica o lineal según el caso.</t>
  </si>
  <si>
    <t>Tabla 7</t>
  </si>
  <si>
    <t>Para edades 20, 25, 30, 35 y 40 se ha considerado crecimiento lineal.</t>
  </si>
  <si>
    <t>Edad mínima</t>
  </si>
  <si>
    <t>Edad máxima</t>
  </si>
  <si>
    <t>V20 (m3/pie)</t>
  </si>
  <si>
    <t>V25 (m3/pie)</t>
  </si>
  <si>
    <t>V30 (m3/pie)</t>
  </si>
  <si>
    <t>V35 (m3/pie)</t>
  </si>
  <si>
    <t>V40 (m3/pie)</t>
  </si>
  <si>
    <t>BEFxD</t>
  </si>
  <si>
    <t>R</t>
  </si>
  <si>
    <t>Abs 20 
(t CO2/pie)</t>
  </si>
  <si>
    <t>Abs 25 
(t CO2/pie)</t>
  </si>
  <si>
    <t>Abs 30 
(t CO2/pie)</t>
  </si>
  <si>
    <t xml:space="preserve">Abs 35 
(t CO2/pie) </t>
  </si>
  <si>
    <t>Abs 40 
(t CO2/pie)</t>
  </si>
  <si>
    <t xml:space="preserve">Quercus faginea </t>
  </si>
  <si>
    <r>
      <t xml:space="preserve">Asimilado al </t>
    </r>
    <r>
      <rPr>
        <i/>
        <sz val="11"/>
        <color indexed="8"/>
        <rFont val="Calibri"/>
        <family val="2"/>
      </rPr>
      <t>Eucalyptus rostrata</t>
    </r>
  </si>
  <si>
    <t>Para edades 20, 25, 30 y 35 se ha considerado crecimiento lineal.</t>
  </si>
  <si>
    <t>Pinus pinaster (Resto)</t>
  </si>
  <si>
    <r>
      <t xml:space="preserve">Pinus pinaster </t>
    </r>
    <r>
      <rPr>
        <sz val="8"/>
        <color indexed="60"/>
        <rFont val="Arial"/>
        <family val="2"/>
      </rPr>
      <t>(Norte)</t>
    </r>
  </si>
  <si>
    <r>
      <t xml:space="preserve">Pinus pinaster </t>
    </r>
    <r>
      <rPr>
        <sz val="8"/>
        <color indexed="60"/>
        <rFont val="Arial"/>
        <family val="2"/>
      </rPr>
      <t>(Resto)</t>
    </r>
  </si>
  <si>
    <t>Para edades 20, 25, 30 y 35 se ha utilizado una ecuación de tercer grado.</t>
  </si>
  <si>
    <t>Zona interior (ssp. atlantica)</t>
  </si>
  <si>
    <t>Zona costera (ssp. atlantica)</t>
  </si>
  <si>
    <t>Sistema Central (ssp. mesogeensis)</t>
  </si>
  <si>
    <t>Acer spp.</t>
  </si>
  <si>
    <t>d (cm)</t>
  </si>
  <si>
    <t>h (m)</t>
  </si>
  <si>
    <t>Z</t>
  </si>
  <si>
    <r>
      <t>W</t>
    </r>
    <r>
      <rPr>
        <b/>
        <vertAlign val="subscript"/>
        <sz val="10"/>
        <rFont val="Arial"/>
        <family val="2"/>
      </rPr>
      <t>s</t>
    </r>
    <r>
      <rPr>
        <b/>
        <sz val="10"/>
        <rFont val="Arial"/>
        <family val="2"/>
      </rPr>
      <t xml:space="preserve"> (Kg)</t>
    </r>
  </si>
  <si>
    <r>
      <t>W</t>
    </r>
    <r>
      <rPr>
        <b/>
        <vertAlign val="subscript"/>
        <sz val="10"/>
        <rFont val="Arial"/>
        <family val="2"/>
      </rPr>
      <t>c</t>
    </r>
    <r>
      <rPr>
        <b/>
        <sz val="10"/>
        <rFont val="Arial"/>
        <family val="2"/>
      </rPr>
      <t xml:space="preserve"> (Kg)</t>
    </r>
  </si>
  <si>
    <r>
      <t>W</t>
    </r>
    <r>
      <rPr>
        <b/>
        <vertAlign val="subscript"/>
        <sz val="10"/>
        <rFont val="Arial"/>
        <family val="2"/>
      </rPr>
      <t>b7</t>
    </r>
    <r>
      <rPr>
        <b/>
        <sz val="10"/>
        <rFont val="Arial"/>
        <family val="2"/>
      </rPr>
      <t xml:space="preserve"> (Kg)</t>
    </r>
  </si>
  <si>
    <r>
      <t>W</t>
    </r>
    <r>
      <rPr>
        <b/>
        <vertAlign val="subscript"/>
        <sz val="10"/>
        <rFont val="Arial"/>
        <family val="2"/>
      </rPr>
      <t>b2-7</t>
    </r>
    <r>
      <rPr>
        <b/>
        <sz val="10"/>
        <rFont val="Arial"/>
        <family val="2"/>
      </rPr>
      <t xml:space="preserve"> (Kg)</t>
    </r>
  </si>
  <si>
    <r>
      <t>W</t>
    </r>
    <r>
      <rPr>
        <b/>
        <vertAlign val="subscript"/>
        <sz val="10"/>
        <rFont val="Arial"/>
        <family val="2"/>
      </rPr>
      <t>b0,5-2</t>
    </r>
    <r>
      <rPr>
        <b/>
        <sz val="10"/>
        <rFont val="Arial"/>
        <family val="2"/>
      </rPr>
      <t xml:space="preserve"> (Kg)</t>
    </r>
  </si>
  <si>
    <r>
      <t>W</t>
    </r>
    <r>
      <rPr>
        <b/>
        <vertAlign val="subscript"/>
        <sz val="10"/>
        <rFont val="Arial"/>
        <family val="2"/>
      </rPr>
      <t>t</t>
    </r>
    <r>
      <rPr>
        <b/>
        <sz val="10"/>
        <rFont val="Arial"/>
        <family val="2"/>
      </rPr>
      <t xml:space="preserve"> (Kg)</t>
    </r>
  </si>
  <si>
    <r>
      <t>W</t>
    </r>
    <r>
      <rPr>
        <b/>
        <vertAlign val="subscript"/>
        <sz val="10"/>
        <rFont val="Arial"/>
        <family val="2"/>
      </rPr>
      <t xml:space="preserve">h </t>
    </r>
    <r>
      <rPr>
        <b/>
        <sz val="10"/>
        <rFont val="Arial"/>
        <family val="2"/>
      </rPr>
      <t>(Kg)</t>
    </r>
  </si>
  <si>
    <r>
      <t>W</t>
    </r>
    <r>
      <rPr>
        <b/>
        <vertAlign val="subscript"/>
        <sz val="10"/>
        <rFont val="Arial"/>
        <family val="2"/>
      </rPr>
      <t xml:space="preserve">db </t>
    </r>
    <r>
      <rPr>
        <b/>
        <sz val="10"/>
        <rFont val="Arial"/>
        <family val="2"/>
      </rPr>
      <t>(Kg)</t>
    </r>
  </si>
  <si>
    <t>Wtotal aérea (Kg)</t>
  </si>
  <si>
    <r>
      <t>W</t>
    </r>
    <r>
      <rPr>
        <b/>
        <vertAlign val="subscript"/>
        <sz val="10"/>
        <rFont val="Arial"/>
        <family val="2"/>
      </rPr>
      <t>r</t>
    </r>
    <r>
      <rPr>
        <b/>
        <sz val="10"/>
        <rFont val="Arial"/>
        <family val="2"/>
      </rPr>
      <t xml:space="preserve"> (Kg)</t>
    </r>
  </si>
  <si>
    <t>W total
(kg)</t>
  </si>
  <si>
    <t>Betula ssp.</t>
  </si>
  <si>
    <t>Ceratonia siliqua</t>
  </si>
  <si>
    <t>Eucalyptus nitens</t>
  </si>
  <si>
    <t>Fagus sylvatica (cepas)</t>
  </si>
  <si>
    <t>Fagus sylvatica (monte alto)</t>
  </si>
  <si>
    <t>Fraxinus angustifolia</t>
  </si>
  <si>
    <t xml:space="preserve">Olea europaea </t>
  </si>
  <si>
    <t>Pinus pinaster (atlántico)</t>
  </si>
  <si>
    <t>Populus x euramericana</t>
  </si>
  <si>
    <t>Quercus canariensis</t>
  </si>
  <si>
    <t>Fracción de biomasa (kg) del tallo</t>
  </si>
  <si>
    <t>Abies pinsapo</t>
  </si>
  <si>
    <t>Fracción de biomasa (kg) de ramas gruesas (diámetro mayor de 7 cm)</t>
  </si>
  <si>
    <t>Fracción de biomasa (kg) de ramas medianas (diámetro entre 2 y 7 cm)</t>
  </si>
  <si>
    <t>Fracción de biomasa (kg) de ramas finas (diámetro inferior a 2 cm) con acículas</t>
  </si>
  <si>
    <t>Olea europaea</t>
  </si>
  <si>
    <t>Populus x euroamericana</t>
  </si>
  <si>
    <t>Fracción de biomasa (kg) bajo el suelo (raíces)</t>
  </si>
  <si>
    <r>
      <t>C total
(t CO</t>
    </r>
    <r>
      <rPr>
        <b/>
        <vertAlign val="subscript"/>
        <sz val="10"/>
        <rFont val="Arial"/>
        <family val="2"/>
      </rPr>
      <t>2</t>
    </r>
    <r>
      <rPr>
        <b/>
        <sz val="10"/>
        <rFont val="Arial"/>
        <family val="2"/>
      </rPr>
      <t>)</t>
    </r>
  </si>
  <si>
    <t>Edad 
(años)</t>
  </si>
  <si>
    <t>Diámetro cuadrático medio (cm)</t>
  </si>
  <si>
    <t>Altura dominante
(m)</t>
  </si>
  <si>
    <t xml:space="preserve">Pinus pinaster ssp. mesogeensis </t>
  </si>
  <si>
    <t>Pseudotsuga menziensii</t>
  </si>
  <si>
    <t>Betula pendula</t>
  </si>
  <si>
    <t>Quercus robur y Quercus petraea</t>
  </si>
  <si>
    <t>CD
(cm)</t>
  </si>
  <si>
    <t>Edad
(años)</t>
  </si>
  <si>
    <r>
      <t>Vol unit
(m</t>
    </r>
    <r>
      <rPr>
        <b/>
        <vertAlign val="superscript"/>
        <sz val="11"/>
        <color indexed="8"/>
        <rFont val="Calibri"/>
        <family val="2"/>
      </rPr>
      <t>3</t>
    </r>
    <r>
      <rPr>
        <b/>
        <sz val="11"/>
        <color indexed="8"/>
        <rFont val="Calibri"/>
        <family val="2"/>
      </rPr>
      <t>/pie)</t>
    </r>
  </si>
  <si>
    <t>BEFXD</t>
  </si>
  <si>
    <r>
      <t>Abs unit
 (t CO</t>
    </r>
    <r>
      <rPr>
        <b/>
        <vertAlign val="subscript"/>
        <sz val="11"/>
        <color indexed="8"/>
        <rFont val="Calibri"/>
        <family val="2"/>
      </rPr>
      <t>2</t>
    </r>
    <r>
      <rPr>
        <b/>
        <sz val="11"/>
        <color indexed="8"/>
        <rFont val="Calibri"/>
        <family val="2"/>
      </rPr>
      <t>/pie)</t>
    </r>
  </si>
  <si>
    <t xml:space="preserve">Arbutus unedo </t>
  </si>
  <si>
    <t>Eucalyptus gomphocephalus</t>
  </si>
  <si>
    <t>Juniperus oxycedrus, J. communis</t>
  </si>
  <si>
    <t>Juniperus phoenicea</t>
  </si>
  <si>
    <t>Larix spp.</t>
  </si>
  <si>
    <t>Persea indica</t>
  </si>
  <si>
    <t>Pinus pinaster resinado</t>
  </si>
  <si>
    <t>Populus x canadensis</t>
  </si>
  <si>
    <t>Pseudotsuga menziesii</t>
  </si>
  <si>
    <t>Salix spp.</t>
  </si>
  <si>
    <t>Tamarix spp.</t>
  </si>
  <si>
    <t>Tabla 201 (media España)</t>
  </si>
  <si>
    <t>España (media de las provincias en que se encuentra)</t>
  </si>
  <si>
    <t xml:space="preserve">Pinus pinaster </t>
  </si>
  <si>
    <t>Pinus resinado</t>
  </si>
  <si>
    <t>Tabla 201 (media de las provincias)</t>
  </si>
  <si>
    <t>Media España (árboles tipo)</t>
  </si>
  <si>
    <t>Se considera crecimiento lineal para los casos en los que no existe dato para una edad determinada</t>
  </si>
  <si>
    <t>Asimilación de especies:</t>
  </si>
  <si>
    <t>Crecimientos:</t>
  </si>
  <si>
    <t>BEFxD y R</t>
  </si>
  <si>
    <r>
      <t>Absorciones unitarias 
(t CO</t>
    </r>
    <r>
      <rPr>
        <b/>
        <vertAlign val="subscript"/>
        <sz val="11"/>
        <color indexed="8"/>
        <rFont val="Calibri"/>
        <family val="2"/>
      </rPr>
      <t>2</t>
    </r>
    <r>
      <rPr>
        <b/>
        <sz val="11"/>
        <color indexed="8"/>
        <rFont val="Calibri"/>
        <family val="2"/>
      </rPr>
      <t>/pie)</t>
    </r>
  </si>
  <si>
    <t>DATOS TABLAS DE PRODUCCIÓN</t>
  </si>
  <si>
    <r>
      <t>t CO</t>
    </r>
    <r>
      <rPr>
        <b/>
        <vertAlign val="subscript"/>
        <sz val="10"/>
        <rFont val="Arial"/>
        <family val="2"/>
      </rPr>
      <t>2</t>
    </r>
    <r>
      <rPr>
        <b/>
        <sz val="10"/>
        <rFont val="Arial"/>
        <family val="2"/>
      </rPr>
      <t xml:space="preserve"> total
(t CO</t>
    </r>
    <r>
      <rPr>
        <b/>
        <vertAlign val="subscript"/>
        <sz val="10"/>
        <rFont val="Arial"/>
        <family val="2"/>
      </rPr>
      <t>2</t>
    </r>
    <r>
      <rPr>
        <b/>
        <sz val="10"/>
        <rFont val="Arial"/>
        <family val="2"/>
      </rPr>
      <t>)</t>
    </r>
  </si>
  <si>
    <r>
      <t>W</t>
    </r>
    <r>
      <rPr>
        <b/>
        <vertAlign val="subscript"/>
        <sz val="10"/>
        <rFont val="Arial"/>
        <family val="2"/>
      </rPr>
      <t>b2+n</t>
    </r>
    <r>
      <rPr>
        <b/>
        <sz val="10"/>
        <rFont val="Arial"/>
        <family val="2"/>
      </rPr>
      <t xml:space="preserve"> (Kg)</t>
    </r>
  </si>
  <si>
    <t>FUENTES</t>
  </si>
  <si>
    <t>Gregorio Montero, Ricardo Ruiz-Peinado, Marta Muñoz, 2014, Modelos de biomasa para estimar los stocks de carbono para coníferas y frondosas en España</t>
  </si>
  <si>
    <r>
      <t>“</t>
    </r>
    <r>
      <rPr>
        <i/>
        <sz val="12"/>
        <color indexed="8"/>
        <rFont val="Calibri"/>
        <family val="2"/>
      </rPr>
      <t>A management tool for estimating bioenergy production and carbon sequestration in Eucalyptus globulus and Eucalyptus nitens grown as short rotation woody crops in north-west Spain</t>
    </r>
    <r>
      <rPr>
        <sz val="12"/>
        <color indexed="8"/>
        <rFont val="Calibri"/>
        <family val="2"/>
      </rPr>
      <t>”. Articulo de Biomass and bioenergy 35 (2011).</t>
    </r>
  </si>
  <si>
    <r>
      <t xml:space="preserve">Modelos dinámicos de crecimiento para rodales regulares de </t>
    </r>
    <r>
      <rPr>
        <i/>
        <sz val="12"/>
        <color indexed="8"/>
        <rFont val="Calibri"/>
        <family val="2"/>
      </rPr>
      <t>Betula pubescens Ehrh</t>
    </r>
    <r>
      <rPr>
        <sz val="12"/>
        <color indexed="8"/>
        <rFont val="Calibri"/>
        <family val="2"/>
      </rPr>
      <t xml:space="preserve">., y de </t>
    </r>
    <r>
      <rPr>
        <i/>
        <sz val="12"/>
        <color indexed="8"/>
        <rFont val="Calibri"/>
        <family val="2"/>
      </rPr>
      <t>Quercus robur L</t>
    </r>
    <r>
      <rPr>
        <sz val="12"/>
        <color indexed="8"/>
        <rFont val="Calibri"/>
        <family val="2"/>
      </rPr>
      <t>. en Galicia” (Esteban Gómez-García). (número 5 de referencia)</t>
    </r>
  </si>
  <si>
    <t>En cuanto a las ecuaciones de raíces de los eucaliptos, hay que ir a las que se establecen en el libro del INIA (referencia 0), en la que consideran por módulos diamétricos y se obtienen teniendo en cuenta diversas edades de recepes.</t>
  </si>
  <si>
    <r>
      <t>“</t>
    </r>
    <r>
      <rPr>
        <i/>
        <sz val="12"/>
        <color indexed="8"/>
        <rFont val="Calibri"/>
        <family val="2"/>
      </rPr>
      <t>Temporal variations and distribution of carbon stocks in aboveground biomass of radiata pine and maritime pine pure stands under different silvicultural alternatives</t>
    </r>
    <r>
      <rPr>
        <sz val="12"/>
        <color indexed="8"/>
        <rFont val="Calibri"/>
        <family val="2"/>
      </rPr>
      <t>”. Facultad de Forestales, Universidad politécnica de Santiago de Compostela. (3)</t>
    </r>
  </si>
  <si>
    <r>
      <t xml:space="preserve">“Carbon and nutrient stocks in mature </t>
    </r>
    <r>
      <rPr>
        <i/>
        <sz val="12"/>
        <color indexed="8"/>
        <rFont val="Times New Roman"/>
        <family val="1"/>
      </rPr>
      <t>Quercus robur</t>
    </r>
    <r>
      <rPr>
        <sz val="12"/>
        <color indexed="8"/>
        <rFont val="Times New Roman"/>
        <family val="1"/>
      </rPr>
      <t xml:space="preserve"> L. stands in NW Spain. Facultad de Forestales, Universidad politécnica de Santiago de Compostela. (4)</t>
    </r>
  </si>
  <si>
    <r>
      <t>Los valores modulares de W</t>
    </r>
    <r>
      <rPr>
        <vertAlign val="subscript"/>
        <sz val="12"/>
        <color indexed="8"/>
        <rFont val="Calibri"/>
        <family val="2"/>
      </rPr>
      <t>r</t>
    </r>
    <r>
      <rPr>
        <sz val="12"/>
        <color indexed="8"/>
        <rFont val="Calibri"/>
        <family val="2"/>
      </rPr>
      <t xml:space="preserve"> se han tomado los de la especie </t>
    </r>
    <r>
      <rPr>
        <i/>
        <sz val="12"/>
        <color indexed="8"/>
        <rFont val="Calibri"/>
        <family val="2"/>
      </rPr>
      <t>Eucalyptus spp</t>
    </r>
    <r>
      <rPr>
        <sz val="12"/>
        <color indexed="8"/>
        <rFont val="Calibri"/>
        <family val="2"/>
      </rPr>
      <t xml:space="preserve"> de la publicación: “Producción de biomasa y fijación de CO</t>
    </r>
    <r>
      <rPr>
        <vertAlign val="subscript"/>
        <sz val="12"/>
        <color indexed="8"/>
        <rFont val="Calibri"/>
        <family val="2"/>
      </rPr>
      <t xml:space="preserve">2 </t>
    </r>
    <r>
      <rPr>
        <sz val="12"/>
        <color indexed="8"/>
        <rFont val="Calibri"/>
        <family val="2"/>
      </rPr>
      <t>por los bosques españoles” de Gregorio Montero, Ricardo Ruiz-Peinado y Marta Muñoz.</t>
    </r>
  </si>
  <si>
    <r>
      <t>Fuente: “</t>
    </r>
    <r>
      <rPr>
        <i/>
        <sz val="12"/>
        <color indexed="8"/>
        <rFont val="Calibri"/>
        <family val="2"/>
      </rPr>
      <t>A management tool for estimating bioenergy production and carbon sequestration in Eucalyptus globulus and Eucalyptus nitens grown as short rotation woody crops in north-west Spain”. Articulo de Biomass and bioenergy 35 (2011). (número 5 de referencia)</t>
    </r>
  </si>
  <si>
    <t>Especies para las que tenemos datos de edad, altura y diámetro en las tablas de producción</t>
  </si>
  <si>
    <t>Pinus pinaster ssp. Mesogeensis (mediterránea)</t>
  </si>
  <si>
    <t>EDAD</t>
  </si>
  <si>
    <t>RESULTADOS MONTERO, 2014</t>
  </si>
  <si>
    <t>DIFERENCIA 
PORCENTUAL</t>
  </si>
  <si>
    <t>En más de un 64 % de los casos, los cálculos exante (a partir de los colúmenes de las tablas de producción y las fórmulas del IPCC), son inferiores a las estimaciones según Montero.</t>
  </si>
  <si>
    <t>Holanda</t>
  </si>
  <si>
    <t>Argelia</t>
  </si>
  <si>
    <t>Pirineos (tablas produccion)</t>
  </si>
  <si>
    <t>Holanda (tablas producción)</t>
  </si>
  <si>
    <t>Holanda (tablas produccion)</t>
  </si>
  <si>
    <t>nº PIES</t>
  </si>
  <si>
    <t>Superficie
(ha)</t>
  </si>
  <si>
    <r>
      <t>Absorciones absolutas (t CO</t>
    </r>
    <r>
      <rPr>
        <b/>
        <vertAlign val="subscript"/>
        <sz val="11"/>
        <color indexed="8"/>
        <rFont val="Calibri"/>
        <family val="2"/>
      </rPr>
      <t>2</t>
    </r>
    <r>
      <rPr>
        <b/>
        <sz val="11"/>
        <color indexed="8"/>
        <rFont val="Calibri"/>
        <family val="2"/>
      </rPr>
      <t>)</t>
    </r>
  </si>
  <si>
    <t xml:space="preserve">Abs 20 </t>
  </si>
  <si>
    <t xml:space="preserve">Abs 25 </t>
  </si>
  <si>
    <t xml:space="preserve">Abs 30 </t>
  </si>
  <si>
    <t xml:space="preserve">Abs 35 </t>
  </si>
  <si>
    <t xml:space="preserve">Abs 40 </t>
  </si>
  <si>
    <t>Datos a introducir</t>
  </si>
  <si>
    <t>RESULTADOS</t>
  </si>
  <si>
    <r>
      <t>Absorciones relativas (t CO</t>
    </r>
    <r>
      <rPr>
        <b/>
        <vertAlign val="subscript"/>
        <sz val="11"/>
        <color indexed="8"/>
        <rFont val="Calibri"/>
        <family val="2"/>
      </rPr>
      <t>2</t>
    </r>
    <r>
      <rPr>
        <b/>
        <sz val="11"/>
        <color indexed="8"/>
        <rFont val="Calibri"/>
        <family val="2"/>
      </rPr>
      <t>/ha)</t>
    </r>
  </si>
  <si>
    <t>Para crecimiento</t>
  </si>
  <si>
    <t>Para BEFxD y R</t>
  </si>
  <si>
    <t>Especie conocida</t>
  </si>
  <si>
    <t>Especie asimilada</t>
  </si>
  <si>
    <t>Árboles de ribera</t>
  </si>
  <si>
    <t>Pseudotsuga menziessii</t>
  </si>
  <si>
    <t>Acer campestre</t>
  </si>
  <si>
    <t xml:space="preserve">Acacia spp. </t>
  </si>
  <si>
    <t>Sabinas</t>
  </si>
  <si>
    <t>Populus spp.</t>
  </si>
  <si>
    <t>Populus nigra, P. x canadensis</t>
  </si>
  <si>
    <t xml:space="preserve">Juniperus spp. </t>
  </si>
  <si>
    <t>Juniperus spp.</t>
  </si>
  <si>
    <t>Otras frondosas de pequeño porte</t>
  </si>
  <si>
    <t>Juniperus oxycedrus</t>
  </si>
  <si>
    <t>Otras frondosas de gran porte</t>
  </si>
  <si>
    <t>Eucalyptus spp.</t>
  </si>
  <si>
    <t>Otras frondosas de pequeño porte*</t>
  </si>
  <si>
    <t>Otras frondosas de gran porte**</t>
  </si>
  <si>
    <t>Erica spp.</t>
  </si>
  <si>
    <t>Quercus pubescens (Q.humilis)</t>
  </si>
  <si>
    <t>Coníferas de crecimiento rápido</t>
  </si>
  <si>
    <t>Ilex spp.</t>
  </si>
  <si>
    <t>Populus nigra, Populus x canadensis</t>
  </si>
  <si>
    <t xml:space="preserve">Betula spp. </t>
  </si>
  <si>
    <t>Otras frondosas y laurisilvas</t>
  </si>
  <si>
    <t>Otras laurisilvas</t>
  </si>
  <si>
    <t>Juniperus turbinata</t>
  </si>
  <si>
    <t>Phoenix canariensis</t>
  </si>
  <si>
    <t>Pinus pinaster sin resinar</t>
  </si>
  <si>
    <r>
      <t xml:space="preserve">*Comprende, de más a menos importancia: </t>
    </r>
    <r>
      <rPr>
        <i/>
        <sz val="11"/>
        <color indexed="8"/>
        <rFont val="Calibri"/>
        <family val="2"/>
      </rPr>
      <t>Prunus spp., P. avium, Arbutus unedo, Crataegus monogyna, Ficus carica, otras frondosas, Sambucus nigra, Frangula alnus, Malus sylvestris, Pyrus spp., Pistacia terebinthus</t>
    </r>
    <r>
      <rPr>
        <sz val="11"/>
        <color theme="1"/>
        <rFont val="Calibri"/>
        <family val="2"/>
        <scheme val="minor"/>
      </rPr>
      <t xml:space="preserve">   
</t>
    </r>
  </si>
  <si>
    <r>
      <t xml:space="preserve">**Incluye de mayor a menor presencia: </t>
    </r>
    <r>
      <rPr>
        <i/>
        <sz val="11"/>
        <color indexed="8"/>
        <rFont val="Calibri"/>
        <family val="2"/>
      </rPr>
      <t>Ulmus minor, Juglans regia, Olea europaea, Betula spp., Sorbus aucuparia</t>
    </r>
  </si>
  <si>
    <t>Fuentes:</t>
  </si>
  <si>
    <t>Sin fuente/dato</t>
  </si>
  <si>
    <t>Pinus nigra Sistema Ibérico</t>
  </si>
  <si>
    <r>
      <t>Pinus pinaster ssp. atlantica</t>
    </r>
    <r>
      <rPr>
        <sz val="8"/>
        <color indexed="60"/>
        <rFont val="Arial"/>
        <family val="2"/>
      </rPr>
      <t xml:space="preserve"> Zona Norte interior</t>
    </r>
  </si>
  <si>
    <r>
      <t>Pinus pinaster ssp. atlantica</t>
    </r>
    <r>
      <rPr>
        <sz val="8"/>
        <color indexed="60"/>
        <rFont val="Arial"/>
        <family val="2"/>
      </rPr>
      <t xml:space="preserve"> Zona Norte costera</t>
    </r>
  </si>
  <si>
    <t>Pinus pinaster ssp. mesogeensis Sistema Central</t>
  </si>
  <si>
    <t>Pinus sylvestris Pirineos</t>
  </si>
  <si>
    <t>Pinus sylvestris Resto</t>
  </si>
  <si>
    <t>Pinus sylvestris Sistema Central</t>
  </si>
  <si>
    <t>Localización</t>
  </si>
  <si>
    <r>
      <t>Absorciones unitarias 
(t CO</t>
    </r>
    <r>
      <rPr>
        <b/>
        <vertAlign val="subscript"/>
        <sz val="11"/>
        <color indexed="9"/>
        <rFont val="Calibri"/>
        <family val="2"/>
      </rPr>
      <t>2</t>
    </r>
    <r>
      <rPr>
        <b/>
        <sz val="11"/>
        <color indexed="9"/>
        <rFont val="Calibri"/>
        <family val="2"/>
      </rPr>
      <t>/pie)</t>
    </r>
  </si>
  <si>
    <r>
      <t>Absorciones unitarias 
(t CO</t>
    </r>
    <r>
      <rPr>
        <b/>
        <vertAlign val="subscript"/>
        <sz val="11"/>
        <rFont val="Calibri"/>
        <family val="2"/>
      </rPr>
      <t>2</t>
    </r>
    <r>
      <rPr>
        <b/>
        <sz val="11"/>
        <rFont val="Calibri"/>
        <family val="2"/>
      </rPr>
      <t>/pie)</t>
    </r>
  </si>
  <si>
    <t>España</t>
  </si>
  <si>
    <t>Pinus pinaster ssp. atlantica</t>
  </si>
  <si>
    <t>Zona interior</t>
  </si>
  <si>
    <t>Zona costera</t>
  </si>
  <si>
    <t>Pinus pinaster ssp. mesogeensis</t>
  </si>
  <si>
    <t>Sistema Central</t>
  </si>
  <si>
    <r>
      <t xml:space="preserve">Pinus pinaster </t>
    </r>
    <r>
      <rPr>
        <sz val="8"/>
        <color indexed="60"/>
        <rFont val="Arial"/>
        <family val="2"/>
      </rPr>
      <t>(Sistema central)</t>
    </r>
  </si>
  <si>
    <t>Pinus pinaster Sistema Central</t>
  </si>
  <si>
    <r>
      <t xml:space="preserve">Pinus pinaster </t>
    </r>
    <r>
      <rPr>
        <sz val="8"/>
        <color indexed="60"/>
        <rFont val="Arial"/>
        <family val="2"/>
      </rPr>
      <t>(Sistema Central)</t>
    </r>
  </si>
  <si>
    <t>Pinus sylvestris Sistema Ibérico</t>
  </si>
  <si>
    <t>Juglans regia</t>
  </si>
  <si>
    <t xml:space="preserve">Gregorio Montero, Ricardo Ruiz-Peinado, Miren Muñoz, 2005, Producción de biomasa y fijación de CO2 por los bosques españoles y Ajustes parabólicos D-t del IFN1 que están disponibles en las publicaciones “Las Coníferas en el primer Inventario Forestal Nacional” y “Las Frondosas en el primer Inventario Forestal Nacional”. </t>
  </si>
  <si>
    <t>Gregorio Montero, Ricardo Ruiz-Peinado, Miren Muñoz, 2014, Modelos de biomasa para estimar los stocks de carbono para coníferas y frondosas en España. ESTIMACIONES EXPOST</t>
  </si>
  <si>
    <t xml:space="preserve"> Lista Especie</t>
  </si>
  <si>
    <r>
      <t>Abs 20 
(t CO</t>
    </r>
    <r>
      <rPr>
        <vertAlign val="subscript"/>
        <sz val="11"/>
        <rFont val="Arial Narrow"/>
        <family val="2"/>
      </rPr>
      <t>2</t>
    </r>
    <r>
      <rPr>
        <sz val="11"/>
        <rFont val="Arial Narrow"/>
        <family val="2"/>
      </rPr>
      <t>/pie)</t>
    </r>
  </si>
  <si>
    <r>
      <t>Abs 25 
(t CO</t>
    </r>
    <r>
      <rPr>
        <vertAlign val="subscript"/>
        <sz val="11"/>
        <rFont val="Arial Narrow"/>
        <family val="2"/>
      </rPr>
      <t>2</t>
    </r>
    <r>
      <rPr>
        <sz val="11"/>
        <rFont val="Arial Narrow"/>
        <family val="2"/>
      </rPr>
      <t>/pie)</t>
    </r>
  </si>
  <si>
    <r>
      <t>Abs 30 
(t CO</t>
    </r>
    <r>
      <rPr>
        <vertAlign val="subscript"/>
        <sz val="11"/>
        <rFont val="Arial Narrow"/>
        <family val="2"/>
      </rPr>
      <t>2</t>
    </r>
    <r>
      <rPr>
        <sz val="11"/>
        <rFont val="Arial Narrow"/>
        <family val="2"/>
      </rPr>
      <t>/pie)</t>
    </r>
  </si>
  <si>
    <r>
      <t>Abs 35 
(t CO</t>
    </r>
    <r>
      <rPr>
        <vertAlign val="subscript"/>
        <sz val="11"/>
        <rFont val="Arial Narrow"/>
        <family val="2"/>
      </rPr>
      <t>2</t>
    </r>
    <r>
      <rPr>
        <sz val="11"/>
        <rFont val="Arial Narrow"/>
        <family val="2"/>
      </rPr>
      <t xml:space="preserve">/pie) </t>
    </r>
  </si>
  <si>
    <r>
      <t>Abs 40 
(t CO</t>
    </r>
    <r>
      <rPr>
        <vertAlign val="subscript"/>
        <sz val="11"/>
        <rFont val="Arial Narrow"/>
        <family val="2"/>
      </rPr>
      <t>2</t>
    </r>
    <r>
      <rPr>
        <sz val="11"/>
        <rFont val="Arial Narrow"/>
        <family val="2"/>
      </rPr>
      <t>/pie)</t>
    </r>
  </si>
  <si>
    <t>Especie de Absorciones conocidas</t>
  </si>
  <si>
    <t>CRATAEGUS LO HE ASIMILADO A ERICA</t>
  </si>
  <si>
    <t>PRUNUS LO HE ASIMILADO A ACER</t>
  </si>
  <si>
    <r>
      <t>Absorciones unitarias 
(t CO</t>
    </r>
    <r>
      <rPr>
        <b/>
        <vertAlign val="subscript"/>
        <sz val="11"/>
        <color indexed="9"/>
        <rFont val="Arial Narrow"/>
        <family val="2"/>
      </rPr>
      <t>2</t>
    </r>
    <r>
      <rPr>
        <b/>
        <sz val="11"/>
        <color indexed="9"/>
        <rFont val="Arial Narrow"/>
        <family val="2"/>
      </rPr>
      <t>/pie)</t>
    </r>
  </si>
  <si>
    <r>
      <t>Absorciones por especie 
 (t CO</t>
    </r>
    <r>
      <rPr>
        <b/>
        <vertAlign val="subscript"/>
        <sz val="11"/>
        <color indexed="9"/>
        <rFont val="Arial Narrow"/>
        <family val="2"/>
      </rPr>
      <t>2</t>
    </r>
    <r>
      <rPr>
        <b/>
        <sz val="11"/>
        <color indexed="9"/>
        <rFont val="Arial Narrow"/>
        <family val="2"/>
      </rPr>
      <t>)</t>
    </r>
  </si>
  <si>
    <t>ha</t>
  </si>
  <si>
    <t>1. DATOS GENERALES DEL PROYECTO</t>
  </si>
  <si>
    <t>HE CORREGIDO EL VALOR DE PINUS SYLVESTRIS RESTO HACIENDO LA MEDIA DE LOS VALORES DE LAS TABLAS DE PRODUCCIÓN</t>
  </si>
  <si>
    <t>20-25</t>
  </si>
  <si>
    <t>25-30</t>
  </si>
  <si>
    <t>30-35</t>
  </si>
  <si>
    <t>35-40</t>
  </si>
  <si>
    <t>Promotor del proyecto</t>
  </si>
  <si>
    <t>Provincia</t>
  </si>
  <si>
    <t>MENOR 20</t>
  </si>
  <si>
    <t>mayor 40</t>
  </si>
  <si>
    <t>2. RESULTADOS</t>
  </si>
  <si>
    <t>nº pies</t>
  </si>
  <si>
    <t>Absorciones calculadas</t>
  </si>
  <si>
    <t xml:space="preserve">Absorciones calculadas </t>
  </si>
  <si>
    <t>20 años</t>
  </si>
  <si>
    <t>25 años</t>
  </si>
  <si>
    <t>30 años</t>
  </si>
  <si>
    <t>35 años</t>
  </si>
  <si>
    <t>40 años</t>
  </si>
  <si>
    <r>
      <t>Tabla 201 del Inventario Forestal Nacional 3 y Anexo 2 de la publicación “</t>
    </r>
    <r>
      <rPr>
        <i/>
        <sz val="11"/>
        <color indexed="8"/>
        <rFont val="Arial Narrow"/>
        <family val="2"/>
      </rPr>
      <t>Las Coníferas en el primer Inventario Forestal Nacional</t>
    </r>
    <r>
      <rPr>
        <sz val="11"/>
        <color indexed="8"/>
        <rFont val="Arial Narrow"/>
        <family val="2"/>
      </rPr>
      <t>”.</t>
    </r>
  </si>
  <si>
    <r>
      <t>Tabla 201 del Inventario Forestal Nacional 3 y Anexo 2 de la publicación “</t>
    </r>
    <r>
      <rPr>
        <i/>
        <sz val="11"/>
        <color indexed="8"/>
        <rFont val="Arial Narrow"/>
        <family val="2"/>
      </rPr>
      <t>Las Frondosas en el primer Inventario Forestal Nacional</t>
    </r>
    <r>
      <rPr>
        <sz val="11"/>
        <color indexed="8"/>
        <rFont val="Arial Narrow"/>
        <family val="2"/>
      </rPr>
      <t xml:space="preserve">”. </t>
    </r>
  </si>
  <si>
    <r>
      <t xml:space="preserve">Tabla 201 del Inventario Forestal Nacional 3 y Anexo 2 de la publicación </t>
    </r>
    <r>
      <rPr>
        <i/>
        <sz val="11"/>
        <color indexed="8"/>
        <rFont val="Arial Narrow"/>
        <family val="2"/>
      </rPr>
      <t>“Las Coníferas en el primer Inventario Forestal Nacional</t>
    </r>
    <r>
      <rPr>
        <sz val="11"/>
        <color indexed="8"/>
        <rFont val="Arial Narrow"/>
        <family val="2"/>
      </rPr>
      <t>”.</t>
    </r>
  </si>
  <si>
    <r>
      <t xml:space="preserve">Madrigal Collazo, J.G. et al., Fundación Conde del Valle de Salazar, Madrid, 1999, </t>
    </r>
    <r>
      <rPr>
        <i/>
        <sz val="11"/>
        <color indexed="8"/>
        <rFont val="Arial Narrow"/>
        <family val="2"/>
      </rPr>
      <t>Tablas de producción para los montes españoles.</t>
    </r>
  </si>
  <si>
    <r>
      <t>Madrigal Collazo, J.G.</t>
    </r>
    <r>
      <rPr>
        <i/>
        <sz val="11"/>
        <color indexed="8"/>
        <rFont val="Arial Narrow"/>
        <family val="2"/>
      </rPr>
      <t xml:space="preserve"> et al</t>
    </r>
    <r>
      <rPr>
        <sz val="11"/>
        <color indexed="8"/>
        <rFont val="Arial Narrow"/>
        <family val="2"/>
      </rPr>
      <t xml:space="preserve">., Fundación Conde del Valle de Salazar, Madrid, 1999, </t>
    </r>
    <r>
      <rPr>
        <i/>
        <sz val="11"/>
        <color indexed="8"/>
        <rFont val="Arial Narrow"/>
        <family val="2"/>
      </rPr>
      <t>Tablas de producción para los montes españoles</t>
    </r>
    <r>
      <rPr>
        <sz val="11"/>
        <color indexed="8"/>
        <rFont val="Arial Narrow"/>
        <family val="2"/>
      </rPr>
      <t>.</t>
    </r>
  </si>
  <si>
    <r>
      <t>Pinus pinaster ssp. atlantica</t>
    </r>
    <r>
      <rPr>
        <sz val="10"/>
        <rFont val="Arial Narrow"/>
        <family val="2"/>
      </rPr>
      <t xml:space="preserve"> Zona Norte interior</t>
    </r>
  </si>
  <si>
    <r>
      <t>Pinus pinaster ssp. atlantica</t>
    </r>
    <r>
      <rPr>
        <sz val="10"/>
        <rFont val="Arial Narrow"/>
        <family val="2"/>
      </rPr>
      <t xml:space="preserve"> Zona Norte costera</t>
    </r>
  </si>
  <si>
    <r>
      <t xml:space="preserve">Pinus pinaster </t>
    </r>
    <r>
      <rPr>
        <sz val="10"/>
        <rFont val="Arial Narrow"/>
        <family val="2"/>
      </rPr>
      <t>(Resto)</t>
    </r>
  </si>
  <si>
    <t>Quercus pubescens</t>
  </si>
  <si>
    <t>(1)</t>
  </si>
  <si>
    <t>(2)</t>
  </si>
  <si>
    <t>(3)</t>
  </si>
  <si>
    <t>Asimilación</t>
  </si>
  <si>
    <t xml:space="preserve">A. Repoblaciones sin aprovechamiento maderero o de aprovechamiento no intensivo </t>
  </si>
  <si>
    <r>
      <t xml:space="preserve"> t CO</t>
    </r>
    <r>
      <rPr>
        <b/>
        <vertAlign val="subscript"/>
        <sz val="11"/>
        <rFont val="Arial Narrow"/>
        <family val="2"/>
      </rPr>
      <t>2</t>
    </r>
  </si>
  <si>
    <r>
      <t xml:space="preserve"> t CO</t>
    </r>
    <r>
      <rPr>
        <b/>
        <vertAlign val="subscript"/>
        <sz val="11"/>
        <rFont val="Arial Narrow"/>
        <family val="2"/>
      </rPr>
      <t>2</t>
    </r>
    <r>
      <rPr>
        <b/>
        <sz val="11"/>
        <rFont val="Arial Narrow"/>
        <family val="2"/>
      </rPr>
      <t>/ha</t>
    </r>
  </si>
  <si>
    <r>
      <t xml:space="preserve"> t CO</t>
    </r>
    <r>
      <rPr>
        <b/>
        <vertAlign val="subscript"/>
        <sz val="10"/>
        <color indexed="9"/>
        <rFont val="Arial Narrow"/>
        <family val="2"/>
      </rPr>
      <t>2</t>
    </r>
  </si>
  <si>
    <r>
      <t>t CO</t>
    </r>
    <r>
      <rPr>
        <b/>
        <vertAlign val="subscript"/>
        <sz val="10"/>
        <color indexed="9"/>
        <rFont val="Arial Narrow"/>
        <family val="2"/>
      </rPr>
      <t>2</t>
    </r>
  </si>
  <si>
    <r>
      <t>t CO</t>
    </r>
    <r>
      <rPr>
        <b/>
        <vertAlign val="subscript"/>
        <sz val="10"/>
        <color indexed="9"/>
        <rFont val="Arial Narrow"/>
        <family val="2"/>
      </rPr>
      <t>2</t>
    </r>
    <r>
      <rPr>
        <b/>
        <sz val="10"/>
        <color indexed="9"/>
        <rFont val="Arial Narrow"/>
        <family val="2"/>
      </rPr>
      <t>/ha</t>
    </r>
  </si>
  <si>
    <t xml:space="preserve"> </t>
  </si>
  <si>
    <t>Absorciones</t>
  </si>
  <si>
    <r>
      <t>Por especie
(t CO</t>
    </r>
    <r>
      <rPr>
        <b/>
        <vertAlign val="subscript"/>
        <sz val="10"/>
        <color indexed="9"/>
        <rFont val="Arial Narrow"/>
        <family val="2"/>
      </rPr>
      <t>2</t>
    </r>
    <r>
      <rPr>
        <b/>
        <sz val="10"/>
        <color indexed="9"/>
        <rFont val="Arial Narrow"/>
        <family val="2"/>
      </rPr>
      <t>)</t>
    </r>
  </si>
  <si>
    <r>
      <t>Por pie y especie sin turno corto (t CO</t>
    </r>
    <r>
      <rPr>
        <b/>
        <vertAlign val="subscript"/>
        <sz val="10"/>
        <color indexed="9"/>
        <rFont val="Arial Narrow"/>
        <family val="2"/>
      </rPr>
      <t>2</t>
    </r>
    <r>
      <rPr>
        <b/>
        <sz val="10"/>
        <color indexed="9"/>
        <rFont val="Arial Narrow"/>
        <family val="2"/>
      </rPr>
      <t>/pie)</t>
    </r>
  </si>
  <si>
    <r>
      <t>Por pie y especie turno corto (/2) (t CO</t>
    </r>
    <r>
      <rPr>
        <b/>
        <vertAlign val="subscript"/>
        <sz val="10"/>
        <color indexed="9"/>
        <rFont val="Arial Narrow"/>
        <family val="2"/>
      </rPr>
      <t>2</t>
    </r>
    <r>
      <rPr>
        <b/>
        <sz val="10"/>
        <color indexed="9"/>
        <rFont val="Arial Narrow"/>
        <family val="2"/>
      </rPr>
      <t>/pie)</t>
    </r>
  </si>
  <si>
    <t>Por especie y ha (t CO2/ha)</t>
  </si>
  <si>
    <r>
      <t>Absorciones disponibles para compensar opción A
(t CO</t>
    </r>
    <r>
      <rPr>
        <b/>
        <vertAlign val="subscript"/>
        <sz val="10"/>
        <color indexed="9"/>
        <rFont val="Arial Narrow"/>
        <family val="2"/>
      </rPr>
      <t>2</t>
    </r>
    <r>
      <rPr>
        <b/>
        <sz val="10"/>
        <color indexed="9"/>
        <rFont val="Arial Narrow"/>
        <family val="2"/>
      </rPr>
      <t>)</t>
    </r>
  </si>
  <si>
    <r>
      <t>Absorciones disponibles para compensar opción B
(t CO</t>
    </r>
    <r>
      <rPr>
        <b/>
        <vertAlign val="subscript"/>
        <sz val="10"/>
        <color indexed="9"/>
        <rFont val="Arial Narrow"/>
        <family val="2"/>
      </rPr>
      <t>2</t>
    </r>
    <r>
      <rPr>
        <b/>
        <sz val="10"/>
        <color indexed="9"/>
        <rFont val="Arial Narrow"/>
        <family val="2"/>
      </rPr>
      <t>)</t>
    </r>
  </si>
  <si>
    <t>Pinus nigra (Resto)</t>
  </si>
  <si>
    <t>abs</t>
  </si>
  <si>
    <r>
      <t xml:space="preserve">Pinus nigra </t>
    </r>
    <r>
      <rPr>
        <sz val="10"/>
        <rFont val="Arial Narrow"/>
        <family val="2"/>
      </rPr>
      <t>(Resto)</t>
    </r>
  </si>
  <si>
    <t>Número de pies objetivo para cada especie que se prevé que exista transcurrido el periodo de permanencia del proyecto. Este valor tendrá que estimarse teniendo en cuenta las marras, las tasas de mortalidad y las cortas previstas en el plan de gestión.</t>
  </si>
  <si>
    <t>Superficie de plantación para cada especie, expresada en ha.</t>
  </si>
  <si>
    <t>Albacete</t>
  </si>
  <si>
    <t>Alicante/Alacant</t>
  </si>
  <si>
    <t>Almería</t>
  </si>
  <si>
    <t>Araba/Álava</t>
  </si>
  <si>
    <t>Asturias</t>
  </si>
  <si>
    <t>Ávila</t>
  </si>
  <si>
    <t>Badajoz</t>
  </si>
  <si>
    <t>Balears, Illes</t>
  </si>
  <si>
    <t>Barcelona</t>
  </si>
  <si>
    <t>Bizkaia</t>
  </si>
  <si>
    <t>Burgos</t>
  </si>
  <si>
    <t>Cáceres</t>
  </si>
  <si>
    <t>Cádiz</t>
  </si>
  <si>
    <t>Cantabria</t>
  </si>
  <si>
    <t>Castellón/Castelló</t>
  </si>
  <si>
    <t>Ciudad Real</t>
  </si>
  <si>
    <t>Córdoba</t>
  </si>
  <si>
    <t>Coruña, A</t>
  </si>
  <si>
    <t>Cuenca</t>
  </si>
  <si>
    <t>Gipuzkoa</t>
  </si>
  <si>
    <t>Girona</t>
  </si>
  <si>
    <t>Granada</t>
  </si>
  <si>
    <t>Guadalajara</t>
  </si>
  <si>
    <t>Huelva</t>
  </si>
  <si>
    <t>Málaga</t>
  </si>
  <si>
    <t>Murcia</t>
  </si>
  <si>
    <t>Navarra</t>
  </si>
  <si>
    <t>Ourense</t>
  </si>
  <si>
    <t>Palencia</t>
  </si>
  <si>
    <t>Palmas, Las</t>
  </si>
  <si>
    <t>Pontevedra</t>
  </si>
  <si>
    <t>Rioja, La</t>
  </si>
  <si>
    <t>Salamanca</t>
  </si>
  <si>
    <t>Santa Cruz de Tenerife</t>
  </si>
  <si>
    <t>Segovia</t>
  </si>
  <si>
    <t>Sevilla</t>
  </si>
  <si>
    <t>Soria</t>
  </si>
  <si>
    <t>Tarragona</t>
  </si>
  <si>
    <t>Teruel</t>
  </si>
  <si>
    <t>Toledo</t>
  </si>
  <si>
    <t>Valladolid</t>
  </si>
  <si>
    <t>Zamora</t>
  </si>
  <si>
    <t>Zaragoza</t>
  </si>
  <si>
    <t>Ceuta</t>
  </si>
  <si>
    <t>Melilla</t>
  </si>
  <si>
    <t>Lista provincias</t>
  </si>
  <si>
    <t>años</t>
  </si>
  <si>
    <t>Periodo de permanencia</t>
  </si>
  <si>
    <t>Superficie de plantación OPCIÓN A</t>
  </si>
  <si>
    <t>Superficie de plantación OPCIÓN B</t>
  </si>
  <si>
    <t>CIF</t>
  </si>
  <si>
    <t>C.I.F. / N.I.F.</t>
  </si>
  <si>
    <t>2º año</t>
  </si>
  <si>
    <t>3º año</t>
  </si>
  <si>
    <t>4º año</t>
  </si>
  <si>
    <t>5º año</t>
  </si>
  <si>
    <t>Parcela 1</t>
  </si>
  <si>
    <t>Parcela 2</t>
  </si>
  <si>
    <t>Parcela 3</t>
  </si>
  <si>
    <t>Parcela 4</t>
  </si>
  <si>
    <t>Localidad</t>
  </si>
  <si>
    <t>Superficie de plantación total (superficie del proyecto)</t>
  </si>
  <si>
    <r>
      <t>2. CÁLCULO DE ABSORCIONES DE CO</t>
    </r>
    <r>
      <rPr>
        <b/>
        <vertAlign val="subscript"/>
        <sz val="14"/>
        <color indexed="9"/>
        <rFont val="Arial Narrow"/>
        <family val="2"/>
      </rPr>
      <t>2</t>
    </r>
  </si>
  <si>
    <r>
      <t>Unitarias por sp. (t CO</t>
    </r>
    <r>
      <rPr>
        <b/>
        <vertAlign val="subscript"/>
        <sz val="10"/>
        <color indexed="9"/>
        <rFont val="Arial Narrow"/>
        <family val="2"/>
      </rPr>
      <t>2</t>
    </r>
    <r>
      <rPr>
        <b/>
        <sz val="10"/>
        <color indexed="9"/>
        <rFont val="Arial Narrow"/>
        <family val="2"/>
      </rPr>
      <t>)</t>
    </r>
  </si>
  <si>
    <r>
      <t>Por sp. y ha
(t CO</t>
    </r>
    <r>
      <rPr>
        <b/>
        <vertAlign val="subscript"/>
        <sz val="10"/>
        <color indexed="9"/>
        <rFont val="Arial Narrow"/>
        <family val="2"/>
      </rPr>
      <t>2</t>
    </r>
    <r>
      <rPr>
        <b/>
        <sz val="10"/>
        <color indexed="9"/>
        <rFont val="Arial Narrow"/>
        <family val="2"/>
      </rPr>
      <t>/ha)</t>
    </r>
  </si>
  <si>
    <t xml:space="preserve">Absorciones OPCIÓN A </t>
  </si>
  <si>
    <t>Absorciones OPCIÓN B</t>
  </si>
  <si>
    <r>
      <t xml:space="preserve"> t CO</t>
    </r>
    <r>
      <rPr>
        <b/>
        <vertAlign val="subscript"/>
        <sz val="11"/>
        <color indexed="9"/>
        <rFont val="Arial Narrow"/>
        <family val="2"/>
      </rPr>
      <t>2</t>
    </r>
  </si>
  <si>
    <t>OPCIÓN B</t>
  </si>
  <si>
    <t>OPCIÓN A</t>
  </si>
  <si>
    <t>Año 1</t>
  </si>
  <si>
    <t>Año 2</t>
  </si>
  <si>
    <t>Año 3</t>
  </si>
  <si>
    <t>Año 4</t>
  </si>
  <si>
    <t>Año 5</t>
  </si>
  <si>
    <t>Desfase</t>
  </si>
  <si>
    <t>Año plant.</t>
  </si>
  <si>
    <t>Pinus sylvestris (Resto)</t>
  </si>
  <si>
    <t>Absorciones (cortas a hecho)</t>
  </si>
  <si>
    <t>Sup plant A</t>
  </si>
  <si>
    <t>Sup plant B</t>
  </si>
  <si>
    <t>Referencia catastral de la parcela donde está ubicado el proyecto (código alfanumérico compuesto por 20 caracteres). En caso de existir varias parcelas con diferente referencia catastral, indicar cuáles son en las celdas correspondientes.</t>
  </si>
  <si>
    <t>Año en que se realiza la plantación de cada especie.</t>
  </si>
  <si>
    <t>Lista años</t>
  </si>
  <si>
    <t>Año  plant.</t>
  </si>
  <si>
    <t>Año</t>
  </si>
  <si>
    <t>A+B</t>
  </si>
  <si>
    <t>Absorciones futuras disponibles para compensar exante</t>
  </si>
  <si>
    <t>Absorciones futuras estimadas</t>
  </si>
  <si>
    <t>TOTALES</t>
  </si>
  <si>
    <t>Absorciones futuras estimadas y disponibles para compensar ex ante según tipo de gestión (A o B)</t>
  </si>
  <si>
    <t>Tipo de repoblación</t>
  </si>
  <si>
    <t>CONTENIDO</t>
  </si>
  <si>
    <t>INSTRUCCIONES PARA LA CUMPLIMENTACIÓN: USO DE LA CALCULADORA</t>
  </si>
  <si>
    <t>Datos generales del proyecto</t>
  </si>
  <si>
    <t>Versión</t>
  </si>
  <si>
    <t>Revisiones</t>
  </si>
  <si>
    <t>V1</t>
  </si>
  <si>
    <t>Factores de absorción</t>
  </si>
  <si>
    <t>Tabla 201 del IFN3 y Anexo 2 (Coníferas) IFN1 (1)</t>
  </si>
  <si>
    <t>Tabla 201 del IFN3 y Anexo 2 (frondosas) IFN1 (2)</t>
  </si>
  <si>
    <t>Tablas producción Madrigal (3)</t>
  </si>
  <si>
    <t>Informe de emisiones de gases de efecto invernadero en España 1990-2012</t>
  </si>
  <si>
    <t>(4)</t>
  </si>
  <si>
    <t>CLAVE_SP</t>
  </si>
  <si>
    <t>Especie repoblada</t>
  </si>
  <si>
    <t>CD</t>
  </si>
  <si>
    <t>tiempo (años)</t>
  </si>
  <si>
    <t>Tabla 201 e Inventario de emisiones 1990-2021</t>
  </si>
  <si>
    <t>Tabla 201 e Inventario de emisiones 1990-2012</t>
  </si>
  <si>
    <t>Tabla 201 IFN3 e Informe Inventarios GEI España 1990-2012</t>
  </si>
  <si>
    <t>Información Informe de emisiones de gases de efecto invernadero en España 1990-2012</t>
  </si>
  <si>
    <t>201_Valores promedio de los volúmenes según clases diamétricas para todas las provincias donde se encuentra cada especie.</t>
  </si>
  <si>
    <t>Fuente utilizada en V1</t>
  </si>
  <si>
    <t>Tabla 201 e Inventario de emisiones 1990-2022</t>
  </si>
  <si>
    <t>Tabla 201 e Inventario de emisiones 1990-2023</t>
  </si>
  <si>
    <t>Fuente en versión anterior V0</t>
  </si>
  <si>
    <t>Tiempo (años)_NIR</t>
  </si>
  <si>
    <t>Vol unit_201</t>
  </si>
  <si>
    <t>Sin fuente/dato (asimilación)</t>
  </si>
  <si>
    <r>
      <t>V20 
(m</t>
    </r>
    <r>
      <rPr>
        <vertAlign val="superscript"/>
        <sz val="11"/>
        <color indexed="9"/>
        <rFont val="Calibri"/>
        <family val="2"/>
      </rPr>
      <t>3</t>
    </r>
    <r>
      <rPr>
        <sz val="11"/>
        <color indexed="9"/>
        <rFont val="Calibri"/>
        <family val="2"/>
      </rPr>
      <t>/pie)</t>
    </r>
  </si>
  <si>
    <r>
      <t>V25 
(m</t>
    </r>
    <r>
      <rPr>
        <vertAlign val="superscript"/>
        <sz val="11"/>
        <color indexed="9"/>
        <rFont val="Calibri"/>
        <family val="2"/>
      </rPr>
      <t>3</t>
    </r>
    <r>
      <rPr>
        <sz val="11"/>
        <color indexed="9"/>
        <rFont val="Calibri"/>
        <family val="2"/>
      </rPr>
      <t>/pie)</t>
    </r>
  </si>
  <si>
    <r>
      <t>V30 
(m</t>
    </r>
    <r>
      <rPr>
        <vertAlign val="superscript"/>
        <sz val="11"/>
        <color indexed="8"/>
        <rFont val="Calibri"/>
        <family val="2"/>
      </rPr>
      <t>3</t>
    </r>
    <r>
      <rPr>
        <sz val="11"/>
        <color indexed="8"/>
        <rFont val="Calibri"/>
        <family val="2"/>
      </rPr>
      <t>/pie)</t>
    </r>
  </si>
  <si>
    <r>
      <t>V35 
(m</t>
    </r>
    <r>
      <rPr>
        <vertAlign val="superscript"/>
        <sz val="11"/>
        <color indexed="8"/>
        <rFont val="Calibri"/>
        <family val="2"/>
      </rPr>
      <t>3</t>
    </r>
    <r>
      <rPr>
        <sz val="11"/>
        <color indexed="8"/>
        <rFont val="Calibri"/>
        <family val="2"/>
      </rPr>
      <t>/pie)</t>
    </r>
  </si>
  <si>
    <r>
      <t>V40 
(m</t>
    </r>
    <r>
      <rPr>
        <vertAlign val="superscript"/>
        <sz val="11"/>
        <color indexed="8"/>
        <rFont val="Calibri"/>
        <family val="2"/>
      </rPr>
      <t>3</t>
    </r>
    <r>
      <rPr>
        <sz val="11"/>
        <color indexed="8"/>
        <rFont val="Calibri"/>
        <family val="2"/>
      </rPr>
      <t>/pie)</t>
    </r>
  </si>
  <si>
    <t>lista Especie</t>
  </si>
  <si>
    <t>lista BEFXD</t>
  </si>
  <si>
    <t>lista R</t>
  </si>
  <si>
    <t>Cedrus spp.</t>
  </si>
  <si>
    <t xml:space="preserve">Cupressus spp. </t>
  </si>
  <si>
    <t>Gleditsia triacanthos</t>
  </si>
  <si>
    <t>Laurus spp.</t>
  </si>
  <si>
    <t>Platanus spp.</t>
  </si>
  <si>
    <t>Robinia pseudoacacia</t>
  </si>
  <si>
    <t>Sophora japonica</t>
  </si>
  <si>
    <r>
      <t xml:space="preserve">Pinus sylvestris </t>
    </r>
    <r>
      <rPr>
        <sz val="10"/>
        <rFont val="Arial Narrow"/>
        <family val="2"/>
      </rPr>
      <t>(Resto)</t>
    </r>
  </si>
  <si>
    <r>
      <t>Año plant.</t>
    </r>
    <r>
      <rPr>
        <b/>
        <vertAlign val="superscript"/>
        <sz val="10"/>
        <color indexed="9"/>
        <rFont val="Arial Narrow"/>
        <family val="2"/>
      </rPr>
      <t xml:space="preserve">3
</t>
    </r>
  </si>
  <si>
    <r>
      <t xml:space="preserve"> Año plant.</t>
    </r>
    <r>
      <rPr>
        <b/>
        <vertAlign val="superscript"/>
        <sz val="10"/>
        <color indexed="9"/>
        <rFont val="Arial Narrow"/>
        <family val="2"/>
      </rPr>
      <t xml:space="preserve">1
</t>
    </r>
  </si>
  <si>
    <r>
      <t>Nº pies objetivo</t>
    </r>
    <r>
      <rPr>
        <b/>
        <vertAlign val="superscript"/>
        <sz val="10"/>
        <color indexed="9"/>
        <rFont val="Arial Narrow"/>
        <family val="2"/>
      </rPr>
      <t xml:space="preserve">2
</t>
    </r>
  </si>
  <si>
    <r>
      <t>Superficie de plant.</t>
    </r>
    <r>
      <rPr>
        <b/>
        <vertAlign val="superscript"/>
        <sz val="10"/>
        <color indexed="9"/>
        <rFont val="Arial Narrow"/>
        <family val="2"/>
      </rPr>
      <t xml:space="preserve">5
</t>
    </r>
  </si>
  <si>
    <r>
      <t>Turno</t>
    </r>
    <r>
      <rPr>
        <b/>
        <vertAlign val="superscript"/>
        <sz val="10"/>
        <color indexed="9"/>
        <rFont val="Arial Narrow"/>
        <family val="2"/>
      </rPr>
      <t xml:space="preserve">4
</t>
    </r>
    <r>
      <rPr>
        <b/>
        <sz val="10"/>
        <color indexed="9"/>
        <rFont val="Arial Narrow"/>
        <family val="2"/>
      </rPr>
      <t xml:space="preserve">(años)
</t>
    </r>
  </si>
  <si>
    <r>
      <t>Nº pies objetivo</t>
    </r>
    <r>
      <rPr>
        <b/>
        <vertAlign val="superscript"/>
        <sz val="10"/>
        <color indexed="9"/>
        <rFont val="Arial Narrow"/>
        <family val="2"/>
      </rPr>
      <t xml:space="preserve">6
</t>
    </r>
  </si>
  <si>
    <t>Promotor</t>
  </si>
  <si>
    <t>Título</t>
  </si>
  <si>
    <t>Tabla 201 del Inventario Forestal Nacional 3 e Informe de emisiones de gases de efecto invernadero en España 1990-2012.</t>
  </si>
  <si>
    <t xml:space="preserve">    Anexo : Revisiones de la calculadora</t>
  </si>
  <si>
    <r>
      <t xml:space="preserve">     Sup. parcela</t>
    </r>
    <r>
      <rPr>
        <b/>
        <vertAlign val="superscript"/>
        <sz val="11"/>
        <color indexed="9"/>
        <rFont val="Arial Narrow"/>
        <family val="2"/>
      </rPr>
      <t>3</t>
    </r>
  </si>
  <si>
    <t>Superficie de plantación, que podrá ser igual o inferior a la superficie de la parcela, expresada en ha.</t>
  </si>
  <si>
    <t>Absorciones estimadas que generará el proyecto durante el periodo de permanencia</t>
  </si>
  <si>
    <r>
      <t>Total
 (t CO</t>
    </r>
    <r>
      <rPr>
        <b/>
        <vertAlign val="subscript"/>
        <sz val="10"/>
        <color indexed="9"/>
        <rFont val="Arial Narrow"/>
        <family val="2"/>
      </rPr>
      <t>2</t>
    </r>
    <r>
      <rPr>
        <b/>
        <sz val="10"/>
        <color indexed="9"/>
        <rFont val="Arial Narrow"/>
        <family val="2"/>
      </rPr>
      <t>)</t>
    </r>
  </si>
  <si>
    <r>
      <t>Unitarias por sp. (t CO</t>
    </r>
    <r>
      <rPr>
        <b/>
        <vertAlign val="subscript"/>
        <sz val="10"/>
        <color indexed="9"/>
        <rFont val="Arial Narrow"/>
        <family val="2"/>
      </rPr>
      <t>2</t>
    </r>
    <r>
      <rPr>
        <b/>
        <sz val="10"/>
        <color indexed="9"/>
        <rFont val="Arial Narrow"/>
        <family val="2"/>
      </rPr>
      <t>)</t>
    </r>
  </si>
  <si>
    <r>
      <t>Total
(t CO</t>
    </r>
    <r>
      <rPr>
        <b/>
        <vertAlign val="subscript"/>
        <sz val="10"/>
        <color indexed="9"/>
        <rFont val="Arial Narrow"/>
        <family val="2"/>
      </rPr>
      <t>2</t>
    </r>
    <r>
      <rPr>
        <b/>
        <sz val="10"/>
        <color indexed="9"/>
        <rFont val="Arial Narrow"/>
        <family val="2"/>
      </rPr>
      <t>)</t>
    </r>
  </si>
  <si>
    <r>
      <t>Total por sup.
(t CO</t>
    </r>
    <r>
      <rPr>
        <b/>
        <vertAlign val="subscript"/>
        <sz val="10"/>
        <color indexed="9"/>
        <rFont val="Arial Narrow"/>
        <family val="2"/>
      </rPr>
      <t>2</t>
    </r>
    <r>
      <rPr>
        <b/>
        <sz val="10"/>
        <color indexed="9"/>
        <rFont val="Arial Narrow"/>
        <family val="2"/>
      </rPr>
      <t>/ha)</t>
    </r>
  </si>
  <si>
    <t>turno &gt;periodo permanencia</t>
  </si>
  <si>
    <t>turno &lt; periodo permanencia</t>
  </si>
  <si>
    <t>Número de pies objetivo de cada especie que se prevé que exista transcurrido el turno considerado. Este valor tendrá que estimarse teniendo en cuenta las marras, las tasas de mortalidad y las cortas previstas en el plan de gestión.</t>
  </si>
  <si>
    <r>
      <t xml:space="preserve">Un proyecto de absorción consistente en la creación de masas forestales genera absorciones año a año según va aumentando su biomasa. Conforme se van produciendo dichas absorciones, podrán ser cedidas a las organizaciones que deseen adquirirlas para compensar su huella de carbono. Son las </t>
    </r>
    <r>
      <rPr>
        <b/>
        <sz val="14"/>
        <color indexed="17"/>
        <rFont val="Arial Narrow"/>
        <family val="2"/>
      </rPr>
      <t xml:space="preserve">absorciones calculadas </t>
    </r>
    <r>
      <rPr>
        <b/>
        <i/>
        <sz val="14"/>
        <color indexed="17"/>
        <rFont val="Arial Narrow"/>
        <family val="2"/>
      </rPr>
      <t>ex post</t>
    </r>
    <r>
      <rPr>
        <sz val="12"/>
        <rFont val="Arial Narrow"/>
        <family val="2"/>
      </rPr>
      <t xml:space="preserve">, es decir, estimadas a partir de datos físicos de la masa (altura y diámetro de los pies) en el momento actual, absorciones que realmente se están produciendo en el momento en que se calculan.
Según el procedimiento que utiliza esta herramienta, de manera excepcional, un proyecto podrá ceder el 20% de las absorciones futuras que se han estimado, aunque estas no se hayan producido, es lo que se denomina </t>
    </r>
    <r>
      <rPr>
        <b/>
        <sz val="14"/>
        <color indexed="17"/>
        <rFont val="Arial Narrow"/>
        <family val="2"/>
      </rPr>
      <t xml:space="preserve">absorciones calculadas </t>
    </r>
    <r>
      <rPr>
        <b/>
        <i/>
        <sz val="14"/>
        <color indexed="17"/>
        <rFont val="Arial Narrow"/>
        <family val="2"/>
      </rPr>
      <t>ex ante</t>
    </r>
    <r>
      <rPr>
        <sz val="12"/>
        <rFont val="Arial Narrow"/>
        <family val="2"/>
      </rPr>
      <t>. Para ello la plantación que las generará debe haber tenido lugar.</t>
    </r>
  </si>
  <si>
    <r>
      <rPr>
        <b/>
        <sz val="16"/>
        <color indexed="9"/>
        <rFont val="Arial Narrow"/>
        <family val="2"/>
      </rPr>
      <t>Opción A</t>
    </r>
    <r>
      <rPr>
        <b/>
        <sz val="12"/>
        <color indexed="9"/>
        <rFont val="Arial Narrow"/>
        <family val="2"/>
      </rPr>
      <t>: Repoblaciones sin aprovechamiento maderero o de aprovechamiento no intensivo.</t>
    </r>
  </si>
  <si>
    <r>
      <rPr>
        <b/>
        <sz val="16"/>
        <color indexed="9"/>
        <rFont val="Arial Narrow"/>
        <family val="2"/>
      </rPr>
      <t>Opción B</t>
    </r>
    <r>
      <rPr>
        <b/>
        <sz val="12"/>
        <color indexed="9"/>
        <rFont val="Arial Narrow"/>
        <family val="2"/>
      </rPr>
      <t>: Repoblaciones de aprovechamiento intensivo. Cortas a hecho.</t>
    </r>
  </si>
  <si>
    <t>Superficie correspondiente a cada parcela, expresada en ha.</t>
  </si>
  <si>
    <t>Para masas en las que se realizan cortas a hecho al alcanzar su turno y, posteriormente se reponen, se considera que se producen ciclos de absorciones según un patrón Absorciones – tiempo en forma de dientes de sierra como el que se muestra en la figura. Se observa que los máximos de absorción se producen al final de cada turno y los mínimos a su inicio. 
Así, en estos casos, las absorciones que se estima que se alcanzarán al final del periodo de permanencia, serán el resultado de la media de las absorciones producidas durante el periodo comprendido por el turno.</t>
  </si>
  <si>
    <r>
      <t>Pestaña "</t>
    </r>
    <r>
      <rPr>
        <b/>
        <sz val="11"/>
        <rFont val="Arial Narrow"/>
        <family val="2"/>
      </rPr>
      <t>Datos generales del proyecto</t>
    </r>
    <r>
      <rPr>
        <sz val="11"/>
        <rFont val="Arial Narrow"/>
        <family val="2"/>
      </rPr>
      <t xml:space="preserve">": Se añaden nuevas celdas para indicar hasta 4 referencias catastrales con sus respectivas superficies y superficies de plantación. Se añaden también celdas para indicar hasta 5 años de plantación diferentes.
Pestaña </t>
    </r>
    <r>
      <rPr>
        <b/>
        <sz val="11"/>
        <rFont val="Arial Narrow"/>
        <family val="2"/>
      </rPr>
      <t>"Cálculo de absorciones"</t>
    </r>
    <r>
      <rPr>
        <sz val="11"/>
        <rFont val="Arial Narrow"/>
        <family val="2"/>
      </rPr>
      <t>. Se corrigen las fórmulas para que la calculadora funcione para periodos de permanencia superiores a 30 años.
Pestaña</t>
    </r>
    <r>
      <rPr>
        <b/>
        <sz val="11"/>
        <rFont val="Arial Narrow"/>
        <family val="2"/>
      </rPr>
      <t xml:space="preserve"> "Factores de absorción"</t>
    </r>
    <r>
      <rPr>
        <sz val="11"/>
        <rFont val="Arial Narrow"/>
        <family val="2"/>
      </rPr>
      <t xml:space="preserve">: Se sustituyen los factores de absorción de las especies </t>
    </r>
    <r>
      <rPr>
        <i/>
        <sz val="11"/>
        <rFont val="Arial Narrow"/>
        <family val="2"/>
      </rPr>
      <t>Quercus suber</t>
    </r>
    <r>
      <rPr>
        <sz val="11"/>
        <rFont val="Arial Narrow"/>
        <family val="2"/>
      </rPr>
      <t xml:space="preserve">, </t>
    </r>
    <r>
      <rPr>
        <i/>
        <sz val="11"/>
        <rFont val="Arial Narrow"/>
        <family val="2"/>
      </rPr>
      <t>Quercus ilex</t>
    </r>
    <r>
      <rPr>
        <sz val="11"/>
        <rFont val="Arial Narrow"/>
        <family val="2"/>
      </rPr>
      <t xml:space="preserve"> y </t>
    </r>
    <r>
      <rPr>
        <i/>
        <sz val="11"/>
        <rFont val="Arial Narrow"/>
        <family val="2"/>
      </rPr>
      <t>Larix spp</t>
    </r>
    <r>
      <rPr>
        <sz val="11"/>
        <rFont val="Arial Narrow"/>
        <family val="2"/>
      </rPr>
      <t xml:space="preserve">. que se obtuvieron a partir de la Tabla 201 del Inventario Forestal Nacional 3 y del Anexo 2 de las publicaciones de coníferas y frondosas del primer Inventario Forestal Nacional por los obtenidos a través de la Tabla 201 del Inventario Forestal Nacional 3 y el Informe de emisiones de gases de efecto invernadero en España 1990-2012.
Se corrigen los valores de los factores de absorción del </t>
    </r>
    <r>
      <rPr>
        <i/>
        <sz val="11"/>
        <rFont val="Arial Narrow"/>
        <family val="2"/>
      </rPr>
      <t>Pinus sylvestris</t>
    </r>
    <r>
      <rPr>
        <sz val="11"/>
        <rFont val="Arial Narrow"/>
        <family val="2"/>
      </rPr>
      <t xml:space="preserve"> Pirineos y </t>
    </r>
    <r>
      <rPr>
        <i/>
        <sz val="11"/>
        <rFont val="Arial Narrow"/>
        <family val="2"/>
      </rPr>
      <t>Pinus sylvestris</t>
    </r>
    <r>
      <rPr>
        <sz val="11"/>
        <rFont val="Arial Narrow"/>
        <family val="2"/>
      </rPr>
      <t xml:space="preserve"> (Resto).</t>
    </r>
  </si>
  <si>
    <t>Nombre del proyecto</t>
  </si>
  <si>
    <t>&gt;40</t>
  </si>
  <si>
    <r>
      <t xml:space="preserve">            Referencia catastral</t>
    </r>
    <r>
      <rPr>
        <b/>
        <vertAlign val="superscript"/>
        <sz val="11"/>
        <color indexed="9"/>
        <rFont val="Arial Narrow"/>
        <family val="2"/>
      </rPr>
      <t>2</t>
    </r>
  </si>
  <si>
    <t>V2</t>
  </si>
  <si>
    <r>
      <t>Se distinguen dos metodologías de cálculo en función del tipo de repoblación realizada. En los casos en que el fin de la repoblación no sea productivo o bien, que el turno de corta previsto sea superior al periodo de permanencia, se escogerá la</t>
    </r>
    <r>
      <rPr>
        <sz val="16"/>
        <rFont val="Arial Narrow"/>
        <family val="2"/>
      </rPr>
      <t xml:space="preserve"> </t>
    </r>
    <r>
      <rPr>
        <b/>
        <sz val="16"/>
        <color indexed="57"/>
        <rFont val="Arial Narrow"/>
        <family val="2"/>
      </rPr>
      <t>Opción A</t>
    </r>
    <r>
      <rPr>
        <sz val="12"/>
        <rFont val="Arial Narrow"/>
        <family val="2"/>
      </rPr>
      <t xml:space="preserve"> (Repoblaciones sin aprovechamiento maderero o de aprovechamiento no intensivo). Por otro lado, en caso de tratarse de repoblaciones de aprovechamiento intensivo cuyo turno de corta sea inferior al periodo de permanencia, se escogerá la </t>
    </r>
    <r>
      <rPr>
        <b/>
        <sz val="14"/>
        <color indexed="57"/>
        <rFont val="Arial Narrow"/>
        <family val="2"/>
      </rPr>
      <t>Opción B</t>
    </r>
    <r>
      <rPr>
        <sz val="12"/>
        <rFont val="Arial Narrow"/>
        <family val="2"/>
      </rPr>
      <t xml:space="preserve"> (Repoblaciones de aprovechamiento intensivo, cortas a hecho).</t>
    </r>
  </si>
  <si>
    <r>
      <t xml:space="preserve">                                                       REVISIONES DE LA CALCULADORA DE ABSORCIONES</t>
    </r>
    <r>
      <rPr>
        <b/>
        <i/>
        <sz val="14"/>
        <color indexed="9"/>
        <rFont val="Arial Narrow"/>
        <family val="2"/>
      </rPr>
      <t xml:space="preserve"> EX ANTE</t>
    </r>
    <r>
      <rPr>
        <b/>
        <sz val="14"/>
        <color indexed="9"/>
        <rFont val="Arial Narrow"/>
        <family val="2"/>
      </rPr>
      <t xml:space="preserve"> DE CO</t>
    </r>
    <r>
      <rPr>
        <b/>
        <vertAlign val="subscript"/>
        <sz val="14"/>
        <color indexed="9"/>
        <rFont val="Arial Narrow"/>
        <family val="2"/>
      </rPr>
      <t>2</t>
    </r>
    <r>
      <rPr>
        <b/>
        <sz val="14"/>
        <color indexed="9"/>
        <rFont val="Arial Narrow"/>
        <family val="2"/>
      </rPr>
      <t xml:space="preserve"> DE LAS ESPECIES FORESTALES ARBÓREAS ESPAÑOLAS</t>
    </r>
  </si>
  <si>
    <r>
      <t xml:space="preserve">CALCULADORA DE ABSORCIONES </t>
    </r>
    <r>
      <rPr>
        <b/>
        <i/>
        <sz val="20"/>
        <color indexed="9"/>
        <rFont val="Arial Narrow"/>
        <family val="2"/>
      </rPr>
      <t>EX ANTE</t>
    </r>
    <r>
      <rPr>
        <b/>
        <sz val="20"/>
        <color indexed="9"/>
        <rFont val="Arial Narrow"/>
        <family val="2"/>
      </rPr>
      <t xml:space="preserve"> DE DIÓXIDO DE CARBONO DE LAS ESPECIES FORESTALES ARBÓREAS ESPAÑOLAS</t>
    </r>
  </si>
  <si>
    <t>Superficie total</t>
  </si>
  <si>
    <t>Observaciones o explicaciones que servirán de ayuda para la correcta cumplimentación</t>
  </si>
  <si>
    <r>
      <t>Absorciones al final de periodo de permanencia (t CO</t>
    </r>
    <r>
      <rPr>
        <b/>
        <vertAlign val="subscript"/>
        <sz val="10"/>
        <color indexed="9"/>
        <rFont val="Arial Narrow"/>
        <family val="2"/>
      </rPr>
      <t>2</t>
    </r>
    <r>
      <rPr>
        <b/>
        <sz val="10"/>
        <color indexed="9"/>
        <rFont val="Arial Narrow"/>
        <family val="2"/>
      </rPr>
      <t>)</t>
    </r>
  </si>
  <si>
    <r>
      <t>Absorciones estimadas (t CO</t>
    </r>
    <r>
      <rPr>
        <b/>
        <vertAlign val="subscript"/>
        <sz val="10"/>
        <color indexed="9"/>
        <rFont val="Arial Narrow"/>
        <family val="2"/>
      </rPr>
      <t>2</t>
    </r>
    <r>
      <rPr>
        <b/>
        <sz val="10"/>
        <color indexed="9"/>
        <rFont val="Arial Narrow"/>
        <family val="2"/>
      </rPr>
      <t>)</t>
    </r>
  </si>
  <si>
    <r>
      <t>Absorciones disponibles para compensar (t CO</t>
    </r>
    <r>
      <rPr>
        <b/>
        <vertAlign val="subscript"/>
        <sz val="10"/>
        <color indexed="9"/>
        <rFont val="Arial Narrow"/>
        <family val="2"/>
      </rPr>
      <t>2</t>
    </r>
    <r>
      <rPr>
        <b/>
        <sz val="10"/>
        <color indexed="9"/>
        <rFont val="Arial Narrow"/>
        <family val="2"/>
      </rPr>
      <t>)</t>
    </r>
  </si>
  <si>
    <t>A</t>
  </si>
  <si>
    <t>B</t>
  </si>
  <si>
    <t>C</t>
  </si>
  <si>
    <r>
      <t xml:space="preserve">                                        2. CALCULADORA DE ABSORCIONES </t>
    </r>
    <r>
      <rPr>
        <b/>
        <i/>
        <sz val="14"/>
        <color indexed="9"/>
        <rFont val="Arial Narrow"/>
        <family val="2"/>
      </rPr>
      <t>EX ANTE</t>
    </r>
    <r>
      <rPr>
        <b/>
        <sz val="14"/>
        <color indexed="9"/>
        <rFont val="Arial Narrow"/>
        <family val="2"/>
      </rPr>
      <t xml:space="preserve"> DE CO</t>
    </r>
    <r>
      <rPr>
        <b/>
        <vertAlign val="subscript"/>
        <sz val="14"/>
        <color indexed="9"/>
        <rFont val="Arial Narrow"/>
        <family val="2"/>
      </rPr>
      <t>2</t>
    </r>
    <r>
      <rPr>
        <b/>
        <sz val="14"/>
        <color indexed="9"/>
        <rFont val="Arial Narrow"/>
        <family val="2"/>
      </rPr>
      <t xml:space="preserve"> DE LAS ESPECIES FORESTALES ARBÓREAS ESPAÑOLAS</t>
    </r>
  </si>
  <si>
    <r>
      <t xml:space="preserve">                                                                       3. CALCULADORA DE ABSORCIONES</t>
    </r>
    <r>
      <rPr>
        <b/>
        <i/>
        <sz val="14"/>
        <color indexed="9"/>
        <rFont val="Arial Narrow"/>
        <family val="2"/>
      </rPr>
      <t xml:space="preserve"> EX ANTE </t>
    </r>
    <r>
      <rPr>
        <b/>
        <sz val="14"/>
        <color indexed="9"/>
        <rFont val="Arial Narrow"/>
        <family val="2"/>
      </rPr>
      <t>DE CO</t>
    </r>
    <r>
      <rPr>
        <b/>
        <vertAlign val="subscript"/>
        <sz val="14"/>
        <color indexed="9"/>
        <rFont val="Arial Narrow"/>
        <family val="2"/>
      </rPr>
      <t>2</t>
    </r>
    <r>
      <rPr>
        <b/>
        <sz val="14"/>
        <color indexed="9"/>
        <rFont val="Arial Narrow"/>
        <family val="2"/>
      </rPr>
      <t xml:space="preserve"> DE LAS ESPECIES FORESTALES ARBÓREAS ESPAÑOLAS</t>
    </r>
  </si>
  <si>
    <t xml:space="preserve">                                                                                4. FACTORES DE ABSORCIÓN DE LAS ESPECIES FORESTALES ESPAÑOLAS</t>
  </si>
  <si>
    <t>Valencia/València</t>
  </si>
  <si>
    <t>V3</t>
  </si>
  <si>
    <r>
      <t>Sup. plantación</t>
    </r>
    <r>
      <rPr>
        <b/>
        <vertAlign val="superscript"/>
        <sz val="11"/>
        <color indexed="9"/>
        <rFont val="Arial Narrow"/>
        <family val="2"/>
      </rPr>
      <t>4</t>
    </r>
  </si>
  <si>
    <t>cifras redondeadas</t>
  </si>
  <si>
    <t>redondeadas</t>
  </si>
  <si>
    <t>redondear multiplicación</t>
  </si>
  <si>
    <t>1º año (año del proyecto)</t>
  </si>
  <si>
    <t>Año de inicio de la plantación (año del proyecto)</t>
  </si>
  <si>
    <r>
      <t xml:space="preserve">       Periodo de permanencia</t>
    </r>
    <r>
      <rPr>
        <b/>
        <vertAlign val="superscript"/>
        <sz val="11"/>
        <color indexed="9"/>
        <rFont val="Arial Narrow"/>
        <family val="2"/>
      </rPr>
      <t>1</t>
    </r>
  </si>
  <si>
    <r>
      <t xml:space="preserve"> Años de plantación plan de gestión</t>
    </r>
    <r>
      <rPr>
        <b/>
        <vertAlign val="superscript"/>
        <sz val="11"/>
        <color indexed="9"/>
        <rFont val="Arial Narrow"/>
        <family val="2"/>
      </rPr>
      <t>5</t>
    </r>
  </si>
  <si>
    <t>Año de inicio de la plantación del proyecto</t>
  </si>
  <si>
    <t>Periodo de permanencia del proyecto</t>
  </si>
  <si>
    <r>
      <t xml:space="preserve">                                                                    1. CALCULADORA DE ABSORCIONES </t>
    </r>
    <r>
      <rPr>
        <b/>
        <i/>
        <sz val="14"/>
        <color indexed="9"/>
        <rFont val="Arial Narrow"/>
        <family val="2"/>
      </rPr>
      <t>EX ANTE</t>
    </r>
    <r>
      <rPr>
        <b/>
        <sz val="14"/>
        <color indexed="9"/>
        <rFont val="Arial Narrow"/>
        <family val="2"/>
      </rPr>
      <t xml:space="preserve"> DE CO</t>
    </r>
    <r>
      <rPr>
        <b/>
        <vertAlign val="subscript"/>
        <sz val="14"/>
        <color indexed="9"/>
        <rFont val="Arial Narrow"/>
        <family val="2"/>
      </rPr>
      <t>2</t>
    </r>
    <r>
      <rPr>
        <b/>
        <sz val="14"/>
        <color indexed="9"/>
        <rFont val="Arial Narrow"/>
        <family val="2"/>
      </rPr>
      <t xml:space="preserve"> DE LAS ESPECIES FORESTALES ARBÓREAS ESPAÑOLAS</t>
    </r>
  </si>
  <si>
    <t>Huesca</t>
  </si>
  <si>
    <t>Jaén</t>
  </si>
  <si>
    <t>León</t>
  </si>
  <si>
    <t>Lleida</t>
  </si>
  <si>
    <t>Lugo</t>
  </si>
  <si>
    <t>Madrid</t>
  </si>
  <si>
    <t>Años de plantación según el plan de gestión (cada año será un proyecto independiente)</t>
  </si>
  <si>
    <r>
      <t>Absorciones disponibles (t CO</t>
    </r>
    <r>
      <rPr>
        <b/>
        <vertAlign val="subscript"/>
        <sz val="13"/>
        <color indexed="9"/>
        <rFont val="Arial Narrow"/>
        <family val="2"/>
      </rPr>
      <t>2</t>
    </r>
    <r>
      <rPr>
        <b/>
        <sz val="13"/>
        <color indexed="9"/>
        <rFont val="Arial Narrow"/>
        <family val="2"/>
      </rPr>
      <t>) = B - C</t>
    </r>
  </si>
  <si>
    <t>Periodo de tiempo (expresado en años) transcurrido entre la siembra, plantación o regeneración natural y la corta para el aprovechamiento maderable de la masa arbolada. Se establece un turno mínimo de 8 años.</t>
  </si>
  <si>
    <r>
      <t xml:space="preserve">Absorciones registradas útiles = 20% * </t>
    </r>
    <r>
      <rPr>
        <b/>
        <sz val="10"/>
        <color indexed="57"/>
        <rFont val="Arial Narrow"/>
        <family val="2"/>
      </rPr>
      <t xml:space="preserve">A </t>
    </r>
  </si>
  <si>
    <t>Absorciones cedidas a la BOLSA DE GARANTÍA = cantidad equivalente al 10% de las absorciones disponibles</t>
  </si>
  <si>
    <r>
      <t xml:space="preserve">· A la bolsa de garantía se destinará una cantidad de absorciones </t>
    </r>
    <r>
      <rPr>
        <sz val="14"/>
        <color indexed="8"/>
        <rFont val="Arial Narrow"/>
        <family val="2"/>
      </rPr>
      <t>(</t>
    </r>
    <r>
      <rPr>
        <b/>
        <sz val="14"/>
        <color indexed="17"/>
        <rFont val="Arial Narrow"/>
        <family val="2"/>
      </rPr>
      <t>C</t>
    </r>
    <r>
      <rPr>
        <sz val="14"/>
        <color indexed="8"/>
        <rFont val="Arial Narrow"/>
        <family val="2"/>
      </rPr>
      <t>)</t>
    </r>
    <r>
      <rPr>
        <sz val="11"/>
        <color indexed="8"/>
        <rFont val="Arial Narrow"/>
        <family val="2"/>
      </rPr>
      <t xml:space="preserve"> equivalente al 10% de las absorciones disponibles.</t>
    </r>
  </si>
  <si>
    <t>Periodo (expresado en años) durante el cual el promotor se compromete a gestionar la masa y a garantizar su persistencia. Este periodo tendrá que ser igual o superior a 30 años. En caso de que el periodo de permanencia indicado fuese superior a 50 años, y debido a la incertidumbre asociada a periodos tan largos, los cálculos se realizarán considerando un horizonte de 50 años.</t>
  </si>
  <si>
    <t xml:space="preserve">Absorciones previstas al final del periodo de permanencia </t>
  </si>
  <si>
    <r>
      <t xml:space="preserve">A continuación se presentan las absorciones estimadas para todo el periodo clasificadas según los criterios y limitaciones establecidos en el Registro. Las </t>
    </r>
    <r>
      <rPr>
        <b/>
        <sz val="14"/>
        <color indexed="57"/>
        <rFont val="Arial Narrow"/>
        <family val="2"/>
      </rPr>
      <t>absorciones previstas al final del periodo de permanencia</t>
    </r>
    <r>
      <rPr>
        <sz val="11"/>
        <color indexed="8"/>
        <rFont val="Arial Narrow"/>
        <family val="2"/>
      </rPr>
      <t xml:space="preserve"> se corresponden con las absorciones inscritas (</t>
    </r>
    <r>
      <rPr>
        <b/>
        <sz val="14"/>
        <color indexed="57"/>
        <rFont val="Arial Narrow"/>
        <family val="2"/>
      </rPr>
      <t>A</t>
    </r>
    <r>
      <rPr>
        <sz val="11"/>
        <color indexed="8"/>
        <rFont val="Arial Narrow"/>
        <family val="2"/>
      </rPr>
      <t xml:space="preserve">) . 
De éstas, el promotor del proyecto únicamente podrá retirar  la totalidad o parte de las </t>
    </r>
    <r>
      <rPr>
        <b/>
        <sz val="14"/>
        <color indexed="57"/>
        <rFont val="Arial Narrow"/>
        <family val="2"/>
      </rPr>
      <t>absorciones disponibles</t>
    </r>
    <r>
      <rPr>
        <sz val="11"/>
        <color indexed="8"/>
        <rFont val="Arial Narrow"/>
        <family val="2"/>
      </rPr>
      <t xml:space="preserve">. Para obtener las </t>
    </r>
    <r>
      <rPr>
        <sz val="11"/>
        <rFont val="Arial Narrow"/>
        <family val="2"/>
      </rPr>
      <t>absorciones disponibles</t>
    </r>
    <r>
      <rPr>
        <sz val="11"/>
        <color indexed="8"/>
        <rFont val="Arial Narrow"/>
        <family val="2"/>
      </rPr>
      <t>, se aplicarán dos descuentos sobre la</t>
    </r>
    <r>
      <rPr>
        <sz val="11"/>
        <rFont val="Arial Narrow"/>
        <family val="2"/>
      </rPr>
      <t>s absorciones estimadas al final del periodo de permanencia :</t>
    </r>
  </si>
  <si>
    <t>Encontrará a continuación la información desagregada en caso de que haya cumplimentado distintos años de plantación. Únicamente se facilita esta información a título orientativo.</t>
  </si>
  <si>
    <r>
      <t xml:space="preserve">Cada proyecto engloba una única campaña de plantación, si existen otras plantaciones en años sucesivos (excluyendo la reposición de marras), se considerarán </t>
    </r>
    <r>
      <rPr>
        <b/>
        <sz val="13"/>
        <rFont val="Arial Narrow"/>
        <family val="2"/>
      </rPr>
      <t>proyectos independientes</t>
    </r>
    <r>
      <rPr>
        <sz val="11"/>
        <rFont val="Arial Narrow"/>
        <family val="2"/>
      </rPr>
      <t>.
A título informativo, y para facilitar el análisis de proyectos con estas características, la calculadora proporciona las estimaciones de las absorciones que éstas generarán al final del periodo de permanencia contabilizado desde cada año de plantación.</t>
    </r>
  </si>
  <si>
    <t>Las absorciones aquí indicadas se corresponden con la estimación de las absorciones que se espera obtener desde el año en que se produce la plantación hasta el término de periodo de permanencia.</t>
  </si>
  <si>
    <r>
      <t>2. ESTIMACIÓN DE ABSORCIONES DISPONIBLES (t CO</t>
    </r>
    <r>
      <rPr>
        <b/>
        <vertAlign val="subscript"/>
        <sz val="14"/>
        <color indexed="9"/>
        <rFont val="Arial Narrow"/>
        <family val="2"/>
      </rPr>
      <t>2</t>
    </r>
    <r>
      <rPr>
        <b/>
        <sz val="14"/>
        <color indexed="9"/>
        <rFont val="Arial Narrow"/>
        <family val="2"/>
      </rPr>
      <t>)</t>
    </r>
  </si>
  <si>
    <t>Estimación de absorción total</t>
  </si>
  <si>
    <t>Absorciones disponibles</t>
  </si>
  <si>
    <r>
      <t>Habrá que cumplimentar las celdas de las pestañas "</t>
    </r>
    <r>
      <rPr>
        <b/>
        <sz val="14"/>
        <color indexed="57"/>
        <rFont val="Arial Narrow"/>
        <family val="2"/>
      </rPr>
      <t>1. Datos generales del proyecto</t>
    </r>
    <r>
      <rPr>
        <sz val="12"/>
        <rFont val="Arial Narrow"/>
        <family val="2"/>
      </rPr>
      <t>" y "</t>
    </r>
    <r>
      <rPr>
        <b/>
        <sz val="14"/>
        <color indexed="57"/>
        <rFont val="Arial Narrow"/>
        <family val="2"/>
      </rPr>
      <t>2. Estimación de absorción total</t>
    </r>
    <r>
      <rPr>
        <sz val="12"/>
        <rFont val="Arial Narrow"/>
        <family val="2"/>
      </rPr>
      <t>". Los resultados se obtendrán de forma automática y aparecerán en la pestaña de "</t>
    </r>
    <r>
      <rPr>
        <b/>
        <sz val="14"/>
        <color indexed="57"/>
        <rFont val="Arial Narrow"/>
        <family val="2"/>
      </rPr>
      <t>3. Absorciones disponibles</t>
    </r>
    <r>
      <rPr>
        <sz val="12"/>
        <rFont val="Arial Narrow"/>
        <family val="2"/>
      </rPr>
      <t>", en función de los factores que aparecen en la pestaña "</t>
    </r>
    <r>
      <rPr>
        <b/>
        <sz val="14"/>
        <color indexed="57"/>
        <rFont val="Arial Narrow"/>
        <family val="2"/>
      </rPr>
      <t>4. Factores de absorción</t>
    </r>
    <r>
      <rPr>
        <sz val="12"/>
        <rFont val="Arial Narrow"/>
        <family val="2"/>
      </rPr>
      <t>" según especies y en función del periodo de permanencia y/o turno establecidos.</t>
    </r>
  </si>
  <si>
    <r>
      <t xml:space="preserve">Pestaña </t>
    </r>
    <r>
      <rPr>
        <b/>
        <sz val="11"/>
        <rFont val="Arial Narrow"/>
        <family val="2"/>
      </rPr>
      <t>"Cálculo de absorciones"</t>
    </r>
    <r>
      <rPr>
        <sz val="11"/>
        <rFont val="Arial Narrow"/>
        <family val="2"/>
      </rPr>
      <t xml:space="preserve"> pasa a denominarse </t>
    </r>
    <r>
      <rPr>
        <b/>
        <sz val="11"/>
        <rFont val="Arial Narrow"/>
        <family val="2"/>
      </rPr>
      <t xml:space="preserve">"2. Estimación absorción total" </t>
    </r>
    <r>
      <rPr>
        <sz val="11"/>
        <rFont val="Arial Narrow"/>
        <family val="2"/>
      </rPr>
      <t xml:space="preserve">y se corrigen celdas para que el cálculo se realice en cualquier caso con periodos de ciclo de corta superiores a 8 años y periodo de permanencia inferior a 50 años.
Pestaña </t>
    </r>
    <r>
      <rPr>
        <b/>
        <sz val="11"/>
        <rFont val="Arial Narrow"/>
        <family val="2"/>
      </rPr>
      <t>"Resultados - Absorciones futuras disponibles para compensar"</t>
    </r>
    <r>
      <rPr>
        <sz val="11"/>
        <rFont val="Arial Narrow"/>
        <family val="2"/>
      </rPr>
      <t xml:space="preserve"> pasa a denominarse </t>
    </r>
    <r>
      <rPr>
        <b/>
        <sz val="11"/>
        <rFont val="Arial Narrow"/>
        <family val="2"/>
      </rPr>
      <t xml:space="preserve">"3. Absorciones_Disponibles" </t>
    </r>
    <r>
      <rPr>
        <sz val="11"/>
        <rFont val="Arial Narrow"/>
        <family val="2"/>
      </rPr>
      <t>y se descuenta la cantidad a ceder a la bolsa de garantía (cantidad equivalente al 10% de las absorciones disponibles) a las absorciones registradas útiles. Se eliminan los decimales mediante redondeo al número entero más próximo. Se reestructuran los resultados para dividir de forma clara las absorciones generadas por el proyecto y las que se generarían otros años de plantación.</t>
    </r>
  </si>
  <si>
    <t>La información que puede incluir más abajo, permite la obtención de estimaciones para proyectos más complejos en los que se realizan plantaciones en años sucesivos. Tenga en cuenta que aunque cumplimente estos campos, no podrá inscribir de manera conjunta las absorciones obtenidas, ya que cada año se debe inscribir como proyecto independiente. Únicamente se ofrece esta posibilidad de cálculo a título informativo.</t>
  </si>
  <si>
    <r>
      <t xml:space="preserve">· Sólo se podrá retirar un 20% de las absorciones totales previstas. Estas absorciones se denominan absorciones registradas útiles </t>
    </r>
    <r>
      <rPr>
        <sz val="14"/>
        <rFont val="Arial Narrow"/>
        <family val="2"/>
      </rPr>
      <t>(</t>
    </r>
    <r>
      <rPr>
        <b/>
        <sz val="14"/>
        <color indexed="57"/>
        <rFont val="Arial Narrow"/>
        <family val="2"/>
      </rPr>
      <t>B</t>
    </r>
    <r>
      <rPr>
        <sz val="14"/>
        <rFont val="Arial Narrow"/>
        <family val="2"/>
      </rPr>
      <t>).</t>
    </r>
  </si>
  <si>
    <t>V4</t>
  </si>
  <si>
    <t>Erica arborea (Canarias)</t>
  </si>
  <si>
    <t>ENERO 2018: Eliminamos Ailanthus altissima y Acacia spp.</t>
  </si>
  <si>
    <r>
      <t xml:space="preserve">Pinus nigra </t>
    </r>
    <r>
      <rPr>
        <sz val="10"/>
        <color rgb="FFCCFFCC"/>
        <rFont val="Arial Narrow"/>
        <family val="2"/>
      </rPr>
      <t>(Resto)</t>
    </r>
  </si>
  <si>
    <r>
      <t xml:space="preserve">Pinus pinaster </t>
    </r>
    <r>
      <rPr>
        <sz val="10"/>
        <color rgb="FFCCFFCC"/>
        <rFont val="Arial Narrow"/>
        <family val="2"/>
      </rPr>
      <t>(Resto)</t>
    </r>
  </si>
  <si>
    <r>
      <t>Pinus pinaster ssp. atlantica</t>
    </r>
    <r>
      <rPr>
        <sz val="10"/>
        <color rgb="FFCCFFCC"/>
        <rFont val="Arial Narrow"/>
        <family val="2"/>
      </rPr>
      <t xml:space="preserve"> Zona Norte interior</t>
    </r>
  </si>
  <si>
    <r>
      <t>Pinus pinaster ssp. atlantica</t>
    </r>
    <r>
      <rPr>
        <sz val="10"/>
        <color rgb="FFCCFFCC"/>
        <rFont val="Arial Narrow"/>
        <family val="2"/>
      </rPr>
      <t xml:space="preserve"> Zona Norte costera</t>
    </r>
  </si>
  <si>
    <r>
      <t xml:space="preserve">Erica arborea </t>
    </r>
    <r>
      <rPr>
        <sz val="10"/>
        <rFont val="Calibri"/>
        <family val="2"/>
      </rPr>
      <t>(Canarias)</t>
    </r>
  </si>
  <si>
    <r>
      <t xml:space="preserve">Erica arborea </t>
    </r>
    <r>
      <rPr>
        <i/>
        <sz val="11"/>
        <color rgb="FFCCFFCC"/>
        <rFont val="Arial Narrow"/>
        <family val="2"/>
      </rPr>
      <t>(Canarias)</t>
    </r>
  </si>
  <si>
    <r>
      <t xml:space="preserve">Pestaña </t>
    </r>
    <r>
      <rPr>
        <b/>
        <sz val="11"/>
        <rFont val="Arial Narrow"/>
        <family val="2"/>
      </rPr>
      <t>"Factores de absorción"</t>
    </r>
    <r>
      <rPr>
        <sz val="11"/>
        <rFont val="Arial Narrow"/>
        <family val="2"/>
      </rPr>
      <t xml:space="preserve">. Se redondea a 2 el número de decimales que se visualiza en esta pestaña. Se corrigen los factores de absorción de </t>
    </r>
    <r>
      <rPr>
        <i/>
        <sz val="11"/>
        <rFont val="Arial Narrow"/>
        <family val="2"/>
      </rPr>
      <t xml:space="preserve">Alnus sp. </t>
    </r>
    <r>
      <rPr>
        <sz val="11"/>
        <rFont val="Arial Narrow"/>
        <family val="2"/>
      </rPr>
      <t xml:space="preserve">Se eliminan del listado las especies </t>
    </r>
    <r>
      <rPr>
        <i/>
        <sz val="11"/>
        <rFont val="Arial Narrow"/>
        <family val="2"/>
      </rPr>
      <t xml:space="preserve">Acacia spp. </t>
    </r>
    <r>
      <rPr>
        <sz val="11"/>
        <rFont val="Arial Narrow"/>
        <family val="2"/>
      </rPr>
      <t xml:space="preserve">y </t>
    </r>
    <r>
      <rPr>
        <i/>
        <sz val="11"/>
        <rFont val="Arial Narrow"/>
        <family val="2"/>
      </rPr>
      <t>Ailanthus altissima</t>
    </r>
    <r>
      <rPr>
        <sz val="11"/>
        <rFont val="Arial Narrow"/>
        <family val="2"/>
      </rPr>
      <t xml:space="preserve"> por formar parte del </t>
    </r>
    <r>
      <rPr>
        <i/>
        <sz val="11"/>
        <rFont val="Arial Narrow"/>
        <family val="2"/>
      </rPr>
      <t>Catálogo Español de Especies Exóticas Invasoras</t>
    </r>
    <r>
      <rPr>
        <sz val="11"/>
        <rFont val="Arial Narrow"/>
        <family val="2"/>
      </rPr>
      <t xml:space="preserve">. Se detalla que la especie </t>
    </r>
    <r>
      <rPr>
        <i/>
        <sz val="11"/>
        <rFont val="Arial Narrow"/>
        <family val="2"/>
      </rPr>
      <t>Erica arborea</t>
    </r>
    <r>
      <rPr>
        <sz val="11"/>
        <rFont val="Arial Narrow"/>
        <family val="2"/>
      </rPr>
      <t xml:space="preserve"> sólo puede incluirse si se encuentra en las Islas Canarias.</t>
    </r>
  </si>
  <si>
    <r>
      <t>Absorciones estimadas (t CO</t>
    </r>
    <r>
      <rPr>
        <b/>
        <vertAlign val="subscript"/>
        <sz val="11"/>
        <color rgb="FFCCFFCC"/>
        <rFont val="Arial Narrow"/>
        <family val="2"/>
      </rPr>
      <t>2</t>
    </r>
    <r>
      <rPr>
        <b/>
        <sz val="11"/>
        <color rgb="FFCCFFCC"/>
        <rFont val="Arial Narrow"/>
        <family val="2"/>
      </rPr>
      <t>/pie)</t>
    </r>
  </si>
  <si>
    <r>
      <t xml:space="preserve">Pinus sylvestris </t>
    </r>
    <r>
      <rPr>
        <sz val="10"/>
        <color rgb="FFCCFFCC"/>
        <rFont val="Arial Narrow"/>
        <family val="2"/>
      </rPr>
      <t>(Resto)</t>
    </r>
  </si>
  <si>
    <r>
      <t>3. ESTIMACIÓN DE LAS ABSORCIONES (t CO</t>
    </r>
    <r>
      <rPr>
        <b/>
        <vertAlign val="subscript"/>
        <sz val="14"/>
        <color rgb="FFCCFFCC"/>
        <rFont val="Arial Narrow"/>
        <family val="2"/>
      </rPr>
      <t>2</t>
    </r>
    <r>
      <rPr>
        <b/>
        <sz val="14"/>
        <color rgb="FFCCFFCC"/>
        <rFont val="Arial Narrow"/>
        <family val="2"/>
      </rPr>
      <t>) QUE GENERARÍAN LAS PLANTACIONES DE AÑOS SUCESIVOS AL TÉRMINO DEL PERIODO DE PERMANENCIA (OTROS PROYECTOS)</t>
    </r>
    <r>
      <rPr>
        <b/>
        <sz val="11"/>
        <color rgb="FFCCFFCC"/>
        <rFont val="Arial Narrow"/>
        <family val="2"/>
      </rPr>
      <t xml:space="preserve"> </t>
    </r>
  </si>
  <si>
    <t>V.4</t>
  </si>
  <si>
    <t>Fecha modificación</t>
  </si>
  <si>
    <t xml:space="preserve">1
</t>
  </si>
  <si>
    <r>
      <t>Absorciones netas futuras disponibles para compensar (t CO</t>
    </r>
    <r>
      <rPr>
        <b/>
        <vertAlign val="subscript"/>
        <sz val="11"/>
        <color rgb="FFCCFFCC"/>
        <rFont val="Arial Narrow"/>
        <family val="2"/>
      </rPr>
      <t>2</t>
    </r>
    <r>
      <rPr>
        <b/>
        <sz val="11"/>
        <color rgb="FFCCFFCC"/>
        <rFont val="Arial Narrow"/>
        <family val="2"/>
      </rPr>
      <t>) = B - C</t>
    </r>
  </si>
  <si>
    <r>
      <t>Absorciones acumuladas estimadas (t CO</t>
    </r>
    <r>
      <rPr>
        <b/>
        <vertAlign val="subscript"/>
        <sz val="11"/>
        <color indexed="9"/>
        <rFont val="Arial Narrow"/>
        <family val="2"/>
      </rPr>
      <t>2</t>
    </r>
    <r>
      <rPr>
        <b/>
        <sz val="11"/>
        <color indexed="9"/>
        <rFont val="Arial Narrow"/>
        <family val="2"/>
      </rPr>
      <t>/pie)</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</si>
</sst>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00"/>
    <numFmt numFmtId="165" formatCode="#,##0.0"/>
    <numFmt numFmtId="166" formatCode="#,##0.000"/>
    <numFmt numFmtId="167" formatCode="0.0"/>
    <numFmt numFmtId="168" formatCode="0.0%"/>
  </numFmts>
  <fonts count="172" x14ac:knownFonts="1">
    <font>
      <sz val="11"/>
      <color theme="1"/>
      <name val="Calibri"/>
      <family val="2"/>
      <scheme val="minor"/>
    </font>
    <font>
      <sz val="11"/>
      <color indexed="8"/>
      <name val="Calibri"/>
      <family val="2"/>
    </font>
    <font>
      <sz val="11"/>
      <color indexed="9"/>
      <name val="Calibri"/>
      <family val="2"/>
    </font>
    <font>
      <sz val="10"/>
      <name val="Arial"/>
      <family val="2"/>
    </font>
    <font>
      <sz val="8"/>
      <name val="Arial"/>
      <family val="2"/>
    </font>
    <font>
      <i/>
      <sz val="8"/>
      <color indexed="8"/>
      <name val="Arial"/>
      <family val="2"/>
    </font>
    <font>
      <i/>
      <sz val="8"/>
      <name val="Arial"/>
      <family val="2"/>
    </font>
    <font>
      <vertAlign val="superscript"/>
      <sz val="11"/>
      <color indexed="9"/>
      <name val="Calibri"/>
      <family val="2"/>
    </font>
    <font>
      <vertAlign val="subscript"/>
      <sz val="11"/>
      <color indexed="9"/>
      <name val="Calibri"/>
      <family val="2"/>
    </font>
    <font>
      <vertAlign val="subscript"/>
      <sz val="11"/>
      <color indexed="8"/>
      <name val="Calibri"/>
      <family val="2"/>
    </font>
    <font>
      <vertAlign val="superscript"/>
      <sz val="11"/>
      <color indexed="8"/>
      <name val="Calibri"/>
      <family val="2"/>
    </font>
    <font>
      <i/>
      <sz val="11"/>
      <color indexed="8"/>
      <name val="Calibri"/>
      <family val="2"/>
    </font>
    <font>
      <sz val="8"/>
      <color indexed="60"/>
      <name val="Arial"/>
      <family val="2"/>
    </font>
    <font>
      <b/>
      <sz val="11"/>
      <color indexed="8"/>
      <name val="Calibri"/>
      <family val="2"/>
    </font>
    <font>
      <b/>
      <sz val="10"/>
      <name val="Arial"/>
      <family val="2"/>
    </font>
    <font>
      <b/>
      <vertAlign val="subscript"/>
      <sz val="10"/>
      <name val="Arial"/>
      <family val="2"/>
    </font>
    <font>
      <i/>
      <sz val="10"/>
      <name val="Arial"/>
      <family val="2"/>
    </font>
    <font>
      <sz val="10"/>
      <name val="Arial"/>
      <family val="2"/>
    </font>
    <font>
      <b/>
      <vertAlign val="superscript"/>
      <sz val="11"/>
      <color indexed="8"/>
      <name val="Calibri"/>
      <family val="2"/>
    </font>
    <font>
      <b/>
      <vertAlign val="subscript"/>
      <sz val="11"/>
      <color indexed="8"/>
      <name val="Calibri"/>
      <family val="2"/>
    </font>
    <font>
      <i/>
      <sz val="10"/>
      <name val="Calibri"/>
      <family val="2"/>
    </font>
    <font>
      <sz val="12"/>
      <color indexed="8"/>
      <name val="Times New Roman"/>
      <family val="1"/>
    </font>
    <font>
      <i/>
      <sz val="12"/>
      <color indexed="8"/>
      <name val="Times New Roman"/>
      <family val="1"/>
    </font>
    <font>
      <i/>
      <sz val="12"/>
      <color indexed="8"/>
      <name val="Calibri"/>
      <family val="2"/>
    </font>
    <font>
      <sz val="12"/>
      <color indexed="8"/>
      <name val="Calibri"/>
      <family val="2"/>
    </font>
    <font>
      <vertAlign val="subscript"/>
      <sz val="12"/>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name val="Calibri"/>
      <family val="2"/>
    </font>
    <font>
      <b/>
      <vertAlign val="subscript"/>
      <sz val="11"/>
      <name val="Calibri"/>
      <family val="2"/>
    </font>
    <font>
      <b/>
      <vertAlign val="subscript"/>
      <sz val="11"/>
      <color indexed="9"/>
      <name val="Calibri"/>
      <family val="2"/>
    </font>
    <font>
      <sz val="11"/>
      <color indexed="9"/>
      <name val="Calibri"/>
      <family val="2"/>
    </font>
    <font>
      <b/>
      <sz val="11"/>
      <color indexed="9"/>
      <name val="Calibri"/>
      <family val="2"/>
    </font>
    <font>
      <sz val="11"/>
      <color indexed="10"/>
      <name val="Calibri"/>
      <family val="2"/>
    </font>
    <font>
      <b/>
      <sz val="11"/>
      <color indexed="8"/>
      <name val="Calibri"/>
      <family val="2"/>
    </font>
    <font>
      <i/>
      <sz val="11"/>
      <color indexed="8"/>
      <name val="Calibri"/>
      <family val="2"/>
    </font>
    <font>
      <sz val="11"/>
      <name val="Calibri"/>
      <family val="2"/>
    </font>
    <font>
      <i/>
      <sz val="11"/>
      <name val="Calibri"/>
      <family val="2"/>
    </font>
    <font>
      <b/>
      <sz val="10"/>
      <color indexed="8"/>
      <name val="Calibri"/>
      <family val="2"/>
    </font>
    <font>
      <sz val="11"/>
      <color indexed="49"/>
      <name val="Calibri"/>
      <family val="2"/>
    </font>
    <font>
      <i/>
      <sz val="8"/>
      <color indexed="60"/>
      <name val="Arial"/>
      <family val="2"/>
    </font>
    <font>
      <b/>
      <sz val="10"/>
      <color indexed="60"/>
      <name val="Arial"/>
      <family val="2"/>
    </font>
    <font>
      <i/>
      <sz val="11"/>
      <color indexed="10"/>
      <name val="Calibri"/>
      <family val="2"/>
    </font>
    <font>
      <i/>
      <sz val="10"/>
      <color indexed="8"/>
      <name val="Calibri"/>
      <family val="2"/>
    </font>
    <font>
      <i/>
      <sz val="8"/>
      <color indexed="10"/>
      <name val="Arial"/>
      <family val="2"/>
    </font>
    <font>
      <i/>
      <sz val="10"/>
      <color indexed="10"/>
      <name val="Calibri"/>
      <family val="2"/>
    </font>
    <font>
      <sz val="10"/>
      <color indexed="8"/>
      <name val="Calibri"/>
      <family val="2"/>
    </font>
    <font>
      <sz val="10"/>
      <name val="Calibri"/>
      <family val="2"/>
    </font>
    <font>
      <i/>
      <sz val="10"/>
      <name val="Calibri"/>
      <family val="2"/>
    </font>
    <font>
      <i/>
      <sz val="10"/>
      <color indexed="60"/>
      <name val="Calibri"/>
      <family val="2"/>
    </font>
    <font>
      <sz val="10"/>
      <color indexed="8"/>
      <name val="Calibri"/>
      <family val="2"/>
    </font>
    <font>
      <b/>
      <i/>
      <sz val="11"/>
      <color indexed="10"/>
      <name val="Calibri"/>
      <family val="2"/>
    </font>
    <font>
      <b/>
      <sz val="11"/>
      <color indexed="10"/>
      <name val="Calibri"/>
      <family val="2"/>
    </font>
    <font>
      <sz val="10"/>
      <color indexed="60"/>
      <name val="Arial"/>
      <family val="2"/>
    </font>
    <font>
      <i/>
      <sz val="10"/>
      <color indexed="60"/>
      <name val="Arial"/>
      <family val="2"/>
    </font>
    <font>
      <sz val="11"/>
      <color indexed="60"/>
      <name val="Calibri"/>
      <family val="2"/>
    </font>
    <font>
      <sz val="12"/>
      <color indexed="8"/>
      <name val="Times New Roman"/>
      <family val="1"/>
    </font>
    <font>
      <b/>
      <sz val="11"/>
      <name val="Calibri"/>
      <family val="2"/>
    </font>
    <font>
      <i/>
      <sz val="10"/>
      <name val="Arial Narrow"/>
      <family val="2"/>
    </font>
    <font>
      <b/>
      <sz val="11"/>
      <name val="Arial Narrow"/>
      <family val="2"/>
    </font>
    <font>
      <sz val="11"/>
      <name val="Arial Narrow"/>
      <family val="2"/>
    </font>
    <font>
      <vertAlign val="subscript"/>
      <sz val="11"/>
      <name val="Arial Narrow"/>
      <family val="2"/>
    </font>
    <font>
      <i/>
      <sz val="11"/>
      <name val="Arial Narrow"/>
      <family val="2"/>
    </font>
    <font>
      <sz val="8"/>
      <name val="Calibri"/>
      <family val="2"/>
    </font>
    <font>
      <b/>
      <sz val="10"/>
      <name val="Arial Narrow"/>
      <family val="2"/>
    </font>
    <font>
      <u/>
      <sz val="11"/>
      <color indexed="12"/>
      <name val="Calibri"/>
      <family val="2"/>
    </font>
    <font>
      <b/>
      <sz val="11"/>
      <color indexed="9"/>
      <name val="Arial Narrow"/>
      <family val="2"/>
    </font>
    <font>
      <sz val="10"/>
      <name val="Arial Narrow"/>
      <family val="2"/>
    </font>
    <font>
      <b/>
      <vertAlign val="subscript"/>
      <sz val="11"/>
      <color indexed="9"/>
      <name val="Arial Narrow"/>
      <family val="2"/>
    </font>
    <font>
      <b/>
      <vertAlign val="subscript"/>
      <sz val="14"/>
      <color indexed="9"/>
      <name val="Arial Narrow"/>
      <family val="2"/>
    </font>
    <font>
      <b/>
      <sz val="14"/>
      <color indexed="9"/>
      <name val="Arial Narrow"/>
      <family val="2"/>
    </font>
    <font>
      <sz val="11"/>
      <color indexed="8"/>
      <name val="Arial Narrow"/>
      <family val="2"/>
    </font>
    <font>
      <i/>
      <sz val="11"/>
      <color indexed="8"/>
      <name val="Arial Narrow"/>
      <family val="2"/>
    </font>
    <font>
      <sz val="12"/>
      <name val="Arial Narrow"/>
      <family val="2"/>
    </font>
    <font>
      <b/>
      <vertAlign val="subscript"/>
      <sz val="11"/>
      <name val="Arial Narrow"/>
      <family val="2"/>
    </font>
    <font>
      <b/>
      <vertAlign val="subscript"/>
      <sz val="10"/>
      <color indexed="9"/>
      <name val="Arial Narrow"/>
      <family val="2"/>
    </font>
    <font>
      <b/>
      <sz val="10"/>
      <color indexed="9"/>
      <name val="Arial Narrow"/>
      <family val="2"/>
    </font>
    <font>
      <b/>
      <sz val="9"/>
      <name val="Arial Narrow"/>
      <family val="2"/>
    </font>
    <font>
      <vertAlign val="superscript"/>
      <sz val="11"/>
      <name val="Arial Narrow"/>
      <family val="2"/>
    </font>
    <font>
      <b/>
      <vertAlign val="superscript"/>
      <sz val="11"/>
      <color indexed="9"/>
      <name val="Arial Narrow"/>
      <family val="2"/>
    </font>
    <font>
      <b/>
      <vertAlign val="superscript"/>
      <sz val="10"/>
      <color indexed="9"/>
      <name val="Arial Narrow"/>
      <family val="2"/>
    </font>
    <font>
      <b/>
      <sz val="14"/>
      <color indexed="8"/>
      <name val="Arial Narrow"/>
      <family val="2"/>
    </font>
    <font>
      <b/>
      <sz val="20"/>
      <color indexed="9"/>
      <name val="Arial Narrow"/>
      <family val="2"/>
    </font>
    <font>
      <b/>
      <sz val="22"/>
      <color indexed="62"/>
      <name val="Arial Narrow"/>
      <family val="2"/>
    </font>
    <font>
      <b/>
      <sz val="18"/>
      <color indexed="8"/>
      <name val="Arial Narrow"/>
      <family val="2"/>
    </font>
    <font>
      <sz val="14"/>
      <color indexed="8"/>
      <name val="Arial Narrow"/>
      <family val="2"/>
    </font>
    <font>
      <b/>
      <sz val="14"/>
      <color indexed="30"/>
      <name val="Arial Narrow"/>
      <family val="2"/>
    </font>
    <font>
      <sz val="11"/>
      <color indexed="30"/>
      <name val="Arial Narrow"/>
      <family val="2"/>
    </font>
    <font>
      <sz val="10"/>
      <color indexed="8"/>
      <name val="Arial"/>
      <family val="2"/>
    </font>
    <font>
      <sz val="16"/>
      <name val="Arial Narrow"/>
      <family val="2"/>
    </font>
    <font>
      <vertAlign val="superscript"/>
      <sz val="10"/>
      <name val="Arial Narrow"/>
      <family val="2"/>
    </font>
    <font>
      <b/>
      <sz val="12"/>
      <color indexed="9"/>
      <name val="Arial Narrow"/>
      <family val="2"/>
    </font>
    <font>
      <b/>
      <sz val="14"/>
      <color indexed="17"/>
      <name val="Arial Narrow"/>
      <family val="2"/>
    </font>
    <font>
      <b/>
      <i/>
      <sz val="14"/>
      <color indexed="17"/>
      <name val="Arial Narrow"/>
      <family val="2"/>
    </font>
    <font>
      <b/>
      <sz val="16"/>
      <color indexed="9"/>
      <name val="Arial Narrow"/>
      <family val="2"/>
    </font>
    <font>
      <sz val="11"/>
      <color indexed="10"/>
      <name val="Calibri"/>
      <family val="2"/>
    </font>
    <font>
      <b/>
      <sz val="11"/>
      <color indexed="8"/>
      <name val="Calibri"/>
      <family val="2"/>
    </font>
    <font>
      <b/>
      <sz val="11"/>
      <color indexed="9"/>
      <name val="Arial Narrow"/>
      <family val="2"/>
    </font>
    <font>
      <sz val="11"/>
      <color indexed="8"/>
      <name val="Arial Narrow"/>
      <family val="2"/>
    </font>
    <font>
      <b/>
      <sz val="10"/>
      <color indexed="9"/>
      <name val="Arial Narrow"/>
      <family val="2"/>
    </font>
    <font>
      <sz val="10"/>
      <color indexed="8"/>
      <name val="Arial Narrow"/>
      <family val="2"/>
    </font>
    <font>
      <sz val="9"/>
      <color indexed="8"/>
      <name val="Arial Narrow"/>
      <family val="2"/>
    </font>
    <font>
      <sz val="11"/>
      <color indexed="53"/>
      <name val="Arial Narrow"/>
      <family val="2"/>
    </font>
    <font>
      <sz val="11"/>
      <color indexed="42"/>
      <name val="Arial Narrow"/>
      <family val="2"/>
    </font>
    <font>
      <sz val="10"/>
      <color indexed="42"/>
      <name val="Arial Narrow"/>
      <family val="2"/>
    </font>
    <font>
      <sz val="11"/>
      <color indexed="10"/>
      <name val="Arial Narrow"/>
      <family val="2"/>
    </font>
    <font>
      <b/>
      <sz val="12"/>
      <color indexed="8"/>
      <name val="Arial Narrow"/>
      <family val="2"/>
    </font>
    <font>
      <b/>
      <sz val="14"/>
      <color indexed="9"/>
      <name val="Arial Narrow"/>
      <family val="2"/>
    </font>
    <font>
      <b/>
      <sz val="12"/>
      <color indexed="9"/>
      <name val="Arial Narrow"/>
      <family val="2"/>
    </font>
    <font>
      <b/>
      <sz val="12"/>
      <color indexed="17"/>
      <name val="Arial Narrow"/>
      <family val="2"/>
    </font>
    <font>
      <b/>
      <sz val="11"/>
      <color indexed="17"/>
      <name val="Arial Narrow"/>
      <family val="2"/>
    </font>
    <font>
      <b/>
      <sz val="11"/>
      <color indexed="8"/>
      <name val="Arial Narrow"/>
      <family val="2"/>
    </font>
    <font>
      <b/>
      <sz val="11"/>
      <color indexed="30"/>
      <name val="Arial Narrow"/>
      <family val="2"/>
    </font>
    <font>
      <b/>
      <sz val="11"/>
      <color indexed="57"/>
      <name val="Arial Narrow"/>
      <family val="2"/>
    </font>
    <font>
      <sz val="11"/>
      <color indexed="17"/>
      <name val="Arial Narrow"/>
      <family val="2"/>
    </font>
    <font>
      <sz val="10"/>
      <name val="Calibri"/>
      <family val="2"/>
    </font>
    <font>
      <sz val="10"/>
      <color indexed="8"/>
      <name val="Calibri"/>
      <family val="2"/>
    </font>
    <font>
      <i/>
      <sz val="10"/>
      <color indexed="8"/>
      <name val="Calibri"/>
      <family val="2"/>
    </font>
    <font>
      <i/>
      <sz val="11"/>
      <color indexed="10"/>
      <name val="Calibri"/>
      <family val="2"/>
    </font>
    <font>
      <i/>
      <sz val="10"/>
      <color indexed="10"/>
      <name val="Calibri"/>
      <family val="2"/>
    </font>
    <font>
      <i/>
      <sz val="10"/>
      <name val="Calibri"/>
      <family val="2"/>
    </font>
    <font>
      <i/>
      <sz val="10"/>
      <color indexed="10"/>
      <name val="Calibri"/>
      <family val="2"/>
    </font>
    <font>
      <b/>
      <i/>
      <sz val="11"/>
      <color indexed="8"/>
      <name val="Calibri"/>
      <family val="2"/>
    </font>
    <font>
      <b/>
      <i/>
      <sz val="11"/>
      <color indexed="10"/>
      <name val="Calibri"/>
      <family val="2"/>
    </font>
    <font>
      <b/>
      <sz val="11"/>
      <color indexed="10"/>
      <name val="Calibri"/>
      <family val="2"/>
    </font>
    <font>
      <i/>
      <sz val="10"/>
      <color indexed="8"/>
      <name val="Arial Narrow"/>
      <family val="2"/>
    </font>
    <font>
      <b/>
      <sz val="18"/>
      <color indexed="9"/>
      <name val="Arial Narrow"/>
      <family val="2"/>
    </font>
    <font>
      <i/>
      <sz val="9"/>
      <color indexed="8"/>
      <name val="Arial Narrow"/>
      <family val="2"/>
    </font>
    <font>
      <b/>
      <i/>
      <sz val="14"/>
      <color indexed="9"/>
      <name val="Arial Narrow"/>
      <family val="2"/>
    </font>
    <font>
      <b/>
      <sz val="14"/>
      <color indexed="57"/>
      <name val="Arial Narrow"/>
      <family val="2"/>
    </font>
    <font>
      <b/>
      <sz val="16"/>
      <color indexed="57"/>
      <name val="Arial Narrow"/>
      <family val="2"/>
    </font>
    <font>
      <b/>
      <i/>
      <sz val="20"/>
      <color indexed="9"/>
      <name val="Arial Narrow"/>
      <family val="2"/>
    </font>
    <font>
      <sz val="12.5"/>
      <name val="Arial Narrow"/>
      <family val="2"/>
    </font>
    <font>
      <b/>
      <vertAlign val="subscript"/>
      <sz val="13"/>
      <color indexed="9"/>
      <name val="Arial Narrow"/>
      <family val="2"/>
    </font>
    <font>
      <b/>
      <sz val="13"/>
      <color indexed="9"/>
      <name val="Arial Narrow"/>
      <family val="2"/>
    </font>
    <font>
      <sz val="8"/>
      <color indexed="8"/>
      <name val="Arial Narrow"/>
      <family val="2"/>
    </font>
    <font>
      <b/>
      <sz val="10"/>
      <color indexed="57"/>
      <name val="Arial Narrow"/>
      <family val="2"/>
    </font>
    <font>
      <b/>
      <sz val="10"/>
      <color indexed="8"/>
      <name val="Arial Narrow"/>
      <family val="2"/>
    </font>
    <font>
      <b/>
      <sz val="13"/>
      <name val="Arial Narrow"/>
      <family val="2"/>
    </font>
    <font>
      <sz val="14"/>
      <name val="Arial Narrow"/>
      <family val="2"/>
    </font>
    <font>
      <sz val="11"/>
      <color theme="1"/>
      <name val="Calibri"/>
      <family val="2"/>
      <scheme val="minor"/>
    </font>
    <font>
      <b/>
      <sz val="36"/>
      <color rgb="FFFF0000"/>
      <name val="Arial Narrow"/>
      <family val="2"/>
    </font>
    <font>
      <sz val="11"/>
      <color rgb="FF339966"/>
      <name val="Arial Narrow"/>
      <family val="2"/>
    </font>
    <font>
      <b/>
      <sz val="11"/>
      <color rgb="FF339966"/>
      <name val="Arial Narrow"/>
      <family val="2"/>
    </font>
    <font>
      <b/>
      <sz val="14"/>
      <color rgb="FF339966"/>
      <name val="Arial Narrow"/>
      <family val="2"/>
    </font>
    <font>
      <sz val="11"/>
      <color rgb="FFFF0000"/>
      <name val="Arial Narrow"/>
      <family val="2"/>
    </font>
    <font>
      <b/>
      <sz val="16"/>
      <color theme="0"/>
      <name val="Arial Narrow"/>
      <family val="2"/>
    </font>
    <font>
      <b/>
      <sz val="11"/>
      <color rgb="FFCCFFCC"/>
      <name val="Arial Narrow"/>
      <family val="2"/>
    </font>
    <font>
      <b/>
      <sz val="11"/>
      <color theme="0"/>
      <name val="Arial Narrow"/>
      <family val="2"/>
    </font>
    <font>
      <b/>
      <sz val="10"/>
      <color rgb="FF339966"/>
      <name val="Arial Narrow"/>
      <family val="2"/>
    </font>
    <font>
      <sz val="11"/>
      <color rgb="FFCCFFCC"/>
      <name val="Arial Narrow"/>
      <family val="2"/>
    </font>
    <font>
      <b/>
      <sz val="10"/>
      <color rgb="FFCCFFCC"/>
      <name val="Arial Narrow"/>
      <family val="2"/>
    </font>
    <font>
      <b/>
      <sz val="16"/>
      <color rgb="FF339966"/>
      <name val="Arial Narrow"/>
      <family val="2"/>
    </font>
    <font>
      <b/>
      <sz val="13"/>
      <color theme="0"/>
      <name val="Arial Narrow"/>
      <family val="2"/>
    </font>
    <font>
      <b/>
      <sz val="14"/>
      <color rgb="FFCCFFCC"/>
      <name val="Arial Narrow"/>
      <family val="2"/>
    </font>
    <font>
      <sz val="11"/>
      <color rgb="FF99FFCC"/>
      <name val="Arial Narrow"/>
      <family val="2"/>
    </font>
    <font>
      <sz val="10"/>
      <color rgb="FFCCFFCC"/>
      <name val="Arial Narrow"/>
      <family val="2"/>
    </font>
    <font>
      <i/>
      <sz val="11"/>
      <color rgb="FFCCFFCC"/>
      <name val="Arial Narrow"/>
      <family val="2"/>
    </font>
    <font>
      <b/>
      <vertAlign val="subscript"/>
      <sz val="11"/>
      <color rgb="FFCCFFCC"/>
      <name val="Arial Narrow"/>
      <family val="2"/>
    </font>
    <font>
      <b/>
      <vertAlign val="subscript"/>
      <sz val="14"/>
      <color rgb="FFCCFFCC"/>
      <name val="Arial Narrow"/>
      <family val="2"/>
    </font>
  </fonts>
  <fills count="5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55"/>
        <bgColor indexed="64"/>
      </patternFill>
    </fill>
    <fill>
      <patternFill patternType="solid">
        <fgColor indexed="27"/>
        <bgColor indexed="64"/>
      </patternFill>
    </fill>
    <fill>
      <patternFill patternType="solid">
        <fgColor indexed="60"/>
        <bgColor indexed="64"/>
      </patternFill>
    </fill>
    <fill>
      <patternFill patternType="solid">
        <fgColor indexed="10"/>
        <bgColor indexed="64"/>
      </patternFill>
    </fill>
    <fill>
      <patternFill patternType="solid">
        <fgColor indexed="51"/>
        <bgColor indexed="64"/>
      </patternFill>
    </fill>
    <fill>
      <patternFill patternType="solid">
        <fgColor indexed="13"/>
        <bgColor indexed="64"/>
      </patternFill>
    </fill>
    <fill>
      <patternFill patternType="solid">
        <fgColor indexed="50"/>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53"/>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46"/>
        <bgColor indexed="64"/>
      </patternFill>
    </fill>
    <fill>
      <patternFill patternType="solid">
        <fgColor indexed="5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rgb="FFFFFF00"/>
        <bgColor indexed="64"/>
      </patternFill>
    </fill>
    <fill>
      <patternFill patternType="solid">
        <fgColor rgb="FFCCFFCC"/>
        <bgColor indexed="64"/>
      </patternFill>
    </fill>
    <fill>
      <patternFill patternType="solid">
        <fgColor rgb="FF339966"/>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theme="9"/>
        <bgColor indexed="64"/>
      </patternFill>
    </fill>
  </fills>
  <borders count="9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9"/>
      </left>
      <right style="thin">
        <color indexed="23"/>
      </right>
      <top style="thin">
        <color indexed="23"/>
      </top>
      <bottom style="thin">
        <color indexed="23"/>
      </bottom>
      <diagonal/>
    </border>
    <border>
      <left style="thin">
        <color indexed="9"/>
      </left>
      <right style="thin">
        <color indexed="9"/>
      </right>
      <top style="thin">
        <color indexed="23"/>
      </top>
      <bottom/>
      <diagonal/>
    </border>
    <border>
      <left style="thin">
        <color indexed="9"/>
      </left>
      <right style="thin">
        <color indexed="9"/>
      </right>
      <top style="thin">
        <color indexed="9"/>
      </top>
      <bottom style="thin">
        <color indexed="9"/>
      </bottom>
      <diagonal/>
    </border>
    <border>
      <left style="thin">
        <color indexed="9"/>
      </left>
      <right/>
      <top/>
      <bottom style="thin">
        <color indexed="9"/>
      </bottom>
      <diagonal/>
    </border>
    <border>
      <left style="thin">
        <color indexed="23"/>
      </left>
      <right style="thin">
        <color indexed="23"/>
      </right>
      <top/>
      <bottom style="thin">
        <color indexed="23"/>
      </bottom>
      <diagonal/>
    </border>
    <border>
      <left style="thin">
        <color indexed="23"/>
      </left>
      <right/>
      <top/>
      <bottom style="thin">
        <color indexed="23"/>
      </bottom>
      <diagonal/>
    </border>
    <border>
      <left/>
      <right style="thin">
        <color indexed="23"/>
      </right>
      <top style="thin">
        <color indexed="23"/>
      </top>
      <bottom style="thin">
        <color indexed="23"/>
      </bottom>
      <diagonal/>
    </border>
    <border>
      <left/>
      <right style="thin">
        <color indexed="64"/>
      </right>
      <top/>
      <bottom/>
      <diagonal/>
    </border>
    <border>
      <left/>
      <right style="thin">
        <color indexed="9"/>
      </right>
      <top style="thin">
        <color indexed="9"/>
      </top>
      <bottom style="thin">
        <color indexed="9"/>
      </bottom>
      <diagonal/>
    </border>
    <border>
      <left/>
      <right style="thin">
        <color indexed="64"/>
      </right>
      <top/>
      <bottom style="thin">
        <color indexed="64"/>
      </bottom>
      <diagonal/>
    </border>
    <border>
      <left style="thin">
        <color indexed="23"/>
      </left>
      <right/>
      <top style="thin">
        <color indexed="23"/>
      </top>
      <bottom style="thin">
        <color indexed="23"/>
      </bottom>
      <diagonal/>
    </border>
    <border>
      <left style="medium">
        <color indexed="57"/>
      </left>
      <right/>
      <top style="medium">
        <color indexed="57"/>
      </top>
      <bottom/>
      <diagonal/>
    </border>
    <border>
      <left style="medium">
        <color indexed="57"/>
      </left>
      <right/>
      <top/>
      <bottom/>
      <diagonal/>
    </border>
    <border>
      <left style="thin">
        <color indexed="9"/>
      </left>
      <right/>
      <top/>
      <bottom/>
      <diagonal/>
    </border>
    <border>
      <left style="thin">
        <color indexed="9"/>
      </left>
      <right style="thin">
        <color indexed="9"/>
      </right>
      <top style="thin">
        <color indexed="9"/>
      </top>
      <bottom/>
      <diagonal/>
    </border>
    <border>
      <left/>
      <right/>
      <top/>
      <bottom style="thin">
        <color indexed="23"/>
      </bottom>
      <diagonal/>
    </border>
    <border>
      <left style="thin">
        <color indexed="23"/>
      </left>
      <right style="thin">
        <color indexed="23"/>
      </right>
      <top style="thin">
        <color indexed="9"/>
      </top>
      <bottom style="thin">
        <color indexed="23"/>
      </bottom>
      <diagonal/>
    </border>
    <border>
      <left style="thin">
        <color indexed="9"/>
      </left>
      <right style="thin">
        <color indexed="9"/>
      </right>
      <top/>
      <bottom/>
      <diagonal/>
    </border>
    <border>
      <left style="medium">
        <color indexed="57"/>
      </left>
      <right/>
      <top/>
      <bottom style="medium">
        <color indexed="57"/>
      </bottom>
      <diagonal/>
    </border>
    <border>
      <left style="thin">
        <color indexed="23"/>
      </left>
      <right style="thin">
        <color indexed="64"/>
      </right>
      <top style="thin">
        <color indexed="23"/>
      </top>
      <bottom style="thin">
        <color indexed="64"/>
      </bottom>
      <diagonal/>
    </border>
    <border>
      <left style="thin">
        <color indexed="23"/>
      </left>
      <right style="thin">
        <color indexed="9"/>
      </right>
      <top style="thin">
        <color indexed="23"/>
      </top>
      <bottom style="thin">
        <color indexed="23"/>
      </bottom>
      <diagonal/>
    </border>
    <border>
      <left/>
      <right/>
      <top style="thin">
        <color indexed="9"/>
      </top>
      <bottom/>
      <diagonal/>
    </border>
    <border>
      <left style="thin">
        <color indexed="9"/>
      </left>
      <right/>
      <top style="thin">
        <color indexed="9"/>
      </top>
      <bottom/>
      <diagonal/>
    </border>
    <border>
      <left style="thin">
        <color indexed="23"/>
      </left>
      <right/>
      <top/>
      <bottom/>
      <diagonal/>
    </border>
    <border>
      <left/>
      <right/>
      <top style="thin">
        <color indexed="23"/>
      </top>
      <bottom/>
      <diagonal/>
    </border>
    <border>
      <left style="thin">
        <color indexed="9"/>
      </left>
      <right style="thin">
        <color indexed="9"/>
      </right>
      <top/>
      <bottom style="thin">
        <color indexed="9"/>
      </bottom>
      <diagonal/>
    </border>
    <border>
      <left/>
      <right style="medium">
        <color indexed="57"/>
      </right>
      <top/>
      <bottom/>
      <diagonal/>
    </border>
    <border>
      <left/>
      <right/>
      <top/>
      <bottom style="medium">
        <color indexed="57"/>
      </bottom>
      <diagonal/>
    </border>
    <border>
      <left/>
      <right style="medium">
        <color indexed="57"/>
      </right>
      <top/>
      <bottom style="medium">
        <color indexed="57"/>
      </bottom>
      <diagonal/>
    </border>
    <border>
      <left/>
      <right style="medium">
        <color indexed="57"/>
      </right>
      <top style="medium">
        <color indexed="57"/>
      </top>
      <bottom/>
      <diagonal/>
    </border>
    <border>
      <left/>
      <right/>
      <top style="medium">
        <color indexed="57"/>
      </top>
      <bottom/>
      <diagonal/>
    </border>
    <border>
      <left/>
      <right style="medium">
        <color indexed="17"/>
      </right>
      <top/>
      <bottom/>
      <diagonal/>
    </border>
    <border>
      <left/>
      <right/>
      <top/>
      <bottom style="medium">
        <color indexed="17"/>
      </bottom>
      <diagonal/>
    </border>
    <border>
      <left/>
      <right style="medium">
        <color indexed="17"/>
      </right>
      <top/>
      <bottom style="medium">
        <color indexed="17"/>
      </bottom>
      <diagonal/>
    </border>
    <border>
      <left style="medium">
        <color indexed="17"/>
      </left>
      <right/>
      <top/>
      <bottom style="medium">
        <color indexed="17"/>
      </bottom>
      <diagonal/>
    </border>
    <border>
      <left style="medium">
        <color indexed="17"/>
      </left>
      <right/>
      <top/>
      <bottom/>
      <diagonal/>
    </border>
    <border>
      <left/>
      <right style="medium">
        <color indexed="17"/>
      </right>
      <top style="medium">
        <color indexed="17"/>
      </top>
      <bottom/>
      <diagonal/>
    </border>
    <border>
      <left style="medium">
        <color indexed="17"/>
      </left>
      <right/>
      <top style="medium">
        <color indexed="17"/>
      </top>
      <bottom/>
      <diagonal/>
    </border>
    <border>
      <left/>
      <right/>
      <top style="medium">
        <color indexed="17"/>
      </top>
      <bottom/>
      <diagonal/>
    </border>
    <border>
      <left/>
      <right/>
      <top/>
      <bottom style="thin">
        <color indexed="64"/>
      </bottom>
      <diagonal/>
    </border>
    <border>
      <left/>
      <right/>
      <top style="thin">
        <color indexed="64"/>
      </top>
      <bottom style="thin">
        <color indexed="64"/>
      </bottom>
      <diagonal/>
    </border>
    <border>
      <left/>
      <right/>
      <top style="thin">
        <color indexed="23"/>
      </top>
      <bottom style="thin">
        <color indexed="23"/>
      </bottom>
      <diagonal/>
    </border>
    <border>
      <left/>
      <right style="thin">
        <color indexed="23"/>
      </right>
      <top/>
      <bottom/>
      <diagonal/>
    </border>
    <border>
      <left/>
      <right style="thin">
        <color indexed="23"/>
      </right>
      <top/>
      <bottom style="thin">
        <color indexed="23"/>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bottom/>
      <diagonal/>
    </border>
    <border>
      <left style="thin">
        <color indexed="9"/>
      </left>
      <right style="thin">
        <color indexed="9"/>
      </right>
      <top/>
      <bottom style="thin">
        <color indexed="23"/>
      </bottom>
      <diagonal/>
    </border>
    <border>
      <left/>
      <right/>
      <top/>
      <bottom style="thin">
        <color indexed="9"/>
      </bottom>
      <diagonal/>
    </border>
    <border>
      <left/>
      <right style="thin">
        <color indexed="9"/>
      </right>
      <top/>
      <bottom style="thin">
        <color indexed="9"/>
      </bottom>
      <diagonal/>
    </border>
    <border>
      <left style="thin">
        <color indexed="9"/>
      </left>
      <right/>
      <top style="thin">
        <color indexed="9"/>
      </top>
      <bottom style="thin">
        <color indexed="23"/>
      </bottom>
      <diagonal/>
    </border>
    <border>
      <left/>
      <right/>
      <top style="thin">
        <color indexed="9"/>
      </top>
      <bottom style="thin">
        <color indexed="23"/>
      </bottom>
      <diagonal/>
    </border>
    <border>
      <left/>
      <right style="thin">
        <color indexed="9"/>
      </right>
      <top style="thin">
        <color indexed="9"/>
      </top>
      <bottom style="thin">
        <color indexed="23"/>
      </bottom>
      <diagonal/>
    </border>
    <border>
      <left style="thin">
        <color indexed="23"/>
      </left>
      <right/>
      <top style="thin">
        <color indexed="9"/>
      </top>
      <bottom style="thin">
        <color indexed="23"/>
      </bottom>
      <diagonal/>
    </border>
    <border>
      <left/>
      <right style="thin">
        <color indexed="23"/>
      </right>
      <top style="thin">
        <color indexed="9"/>
      </top>
      <bottom style="thin">
        <color indexed="23"/>
      </bottom>
      <diagonal/>
    </border>
    <border>
      <left style="thin">
        <color indexed="23"/>
      </left>
      <right/>
      <top style="thin">
        <color indexed="9"/>
      </top>
      <bottom style="thin">
        <color indexed="9"/>
      </bottom>
      <diagonal/>
    </border>
    <border>
      <left/>
      <right style="thin">
        <color indexed="9"/>
      </right>
      <top style="thin">
        <color indexed="9"/>
      </top>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top style="thin">
        <color indexed="23"/>
      </top>
      <bottom/>
      <diagonal/>
    </border>
    <border>
      <left/>
      <right style="thin">
        <color indexed="23"/>
      </right>
      <top style="thin">
        <color indexed="23"/>
      </top>
      <bottom/>
      <diagonal/>
    </border>
    <border>
      <left/>
      <right style="medium">
        <color rgb="FF339966"/>
      </right>
      <top/>
      <bottom/>
      <diagonal/>
    </border>
    <border>
      <left style="medium">
        <color rgb="FF339966"/>
      </left>
      <right/>
      <top/>
      <bottom/>
      <diagonal/>
    </border>
    <border>
      <left style="medium">
        <color rgb="FF339966"/>
      </left>
      <right/>
      <top/>
      <bottom style="medium">
        <color rgb="FF339966"/>
      </bottom>
      <diagonal/>
    </border>
    <border>
      <left style="thin">
        <color theme="0"/>
      </left>
      <right style="thin">
        <color theme="0"/>
      </right>
      <top style="thin">
        <color theme="0"/>
      </top>
      <bottom style="thin">
        <color theme="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medium">
        <color rgb="FF339966"/>
      </right>
      <top style="medium">
        <color rgb="FF339966"/>
      </top>
      <bottom style="medium">
        <color rgb="FF339966"/>
      </bottom>
      <diagonal/>
    </border>
    <border>
      <left/>
      <right/>
      <top/>
      <bottom style="medium">
        <color rgb="FF339966"/>
      </bottom>
      <diagonal/>
    </border>
    <border>
      <left/>
      <right style="medium">
        <color rgb="FF339966"/>
      </right>
      <top/>
      <bottom style="medium">
        <color rgb="FF339966"/>
      </bottom>
      <diagonal/>
    </border>
    <border>
      <left/>
      <right style="medium">
        <color rgb="FF339966"/>
      </right>
      <top style="medium">
        <color rgb="FF339966"/>
      </top>
      <bottom/>
      <diagonal/>
    </border>
    <border>
      <left style="medium">
        <color rgb="FF339966"/>
      </left>
      <right/>
      <top style="medium">
        <color rgb="FF339966"/>
      </top>
      <bottom/>
      <diagonal/>
    </border>
    <border>
      <left/>
      <right/>
      <top style="medium">
        <color rgb="FF339966"/>
      </top>
      <bottom/>
      <diagonal/>
    </border>
    <border>
      <left/>
      <right/>
      <top style="medium">
        <color rgb="FF339966"/>
      </top>
      <bottom style="medium">
        <color rgb="FF339966"/>
      </bottom>
      <diagonal/>
    </border>
    <border>
      <left style="medium">
        <color rgb="FF339966"/>
      </left>
      <right/>
      <top style="medium">
        <color rgb="FF339966"/>
      </top>
      <bottom style="medium">
        <color rgb="FF339966"/>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right style="thin">
        <color theme="0"/>
      </right>
      <top/>
      <bottom/>
      <diagonal/>
    </border>
  </borders>
  <cellStyleXfs count="50">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2"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36" fillId="0" borderId="0" applyNumberFormat="0" applyFill="0" applyBorder="0" applyAlignment="0" applyProtection="0"/>
    <xf numFmtId="0" fontId="26" fillId="4" borderId="0" applyNumberFormat="0" applyBorder="0" applyAlignment="0" applyProtection="0"/>
    <xf numFmtId="0" fontId="38" fillId="0" borderId="4" applyNumberFormat="0" applyFill="0" applyAlignment="0" applyProtection="0"/>
    <xf numFmtId="0" fontId="3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77" fillId="0" borderId="0" applyNumberFormat="0" applyFill="0" applyBorder="0" applyAlignment="0" applyProtection="0">
      <alignment vertical="top"/>
      <protection locked="0"/>
    </xf>
    <xf numFmtId="0" fontId="31" fillId="7" borderId="1" applyNumberFormat="0" applyAlignment="0" applyProtection="0"/>
    <xf numFmtId="0" fontId="29" fillId="0" borderId="3" applyNumberFormat="0" applyFill="0" applyAlignment="0" applyProtection="0"/>
    <xf numFmtId="43" fontId="3" fillId="0" borderId="0" applyFont="0" applyFill="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 fillId="0" borderId="0"/>
    <xf numFmtId="0" fontId="3" fillId="0" borderId="0"/>
    <xf numFmtId="0" fontId="152" fillId="0" borderId="0"/>
    <xf numFmtId="0" fontId="3" fillId="0" borderId="0"/>
    <xf numFmtId="0" fontId="1" fillId="23" borderId="7" applyNumberFormat="0" applyFont="0" applyAlignment="0" applyProtection="0"/>
    <xf numFmtId="0" fontId="34" fillId="20" borderId="8" applyNumberFormat="0" applyAlignment="0" applyProtection="0"/>
    <xf numFmtId="0" fontId="37" fillId="0" borderId="0" applyNumberFormat="0" applyFill="0" applyBorder="0" applyAlignment="0" applyProtection="0"/>
    <xf numFmtId="0" fontId="13" fillId="0" borderId="9" applyNumberFormat="0" applyFill="0" applyAlignment="0" applyProtection="0"/>
    <xf numFmtId="0" fontId="13" fillId="0" borderId="9" applyNumberFormat="0" applyFill="0" applyAlignment="0" applyProtection="0"/>
    <xf numFmtId="0" fontId="35" fillId="0" borderId="0" applyNumberFormat="0" applyFill="0" applyBorder="0" applyAlignment="0" applyProtection="0"/>
  </cellStyleXfs>
  <cellXfs count="800">
    <xf numFmtId="0" fontId="0" fillId="0" borderId="0" xfId="0"/>
    <xf numFmtId="0" fontId="47" fillId="0" borderId="0" xfId="0" applyFont="1"/>
    <xf numFmtId="0" fontId="6" fillId="0" borderId="10" xfId="0" applyFont="1" applyBorder="1"/>
    <xf numFmtId="0" fontId="6" fillId="0" borderId="0" xfId="0" applyFont="1" applyFill="1" applyBorder="1"/>
    <xf numFmtId="0" fontId="0" fillId="0" borderId="0" xfId="0" applyFill="1"/>
    <xf numFmtId="0" fontId="6" fillId="0" borderId="10" xfId="0" applyFont="1" applyFill="1" applyBorder="1"/>
    <xf numFmtId="0" fontId="0" fillId="0" borderId="10" xfId="0" applyBorder="1"/>
    <xf numFmtId="0" fontId="0" fillId="0" borderId="10" xfId="0" applyBorder="1" applyAlignment="1">
      <alignment horizontal="center" vertical="center" wrapText="1"/>
    </xf>
    <xf numFmtId="0" fontId="0" fillId="0" borderId="0" xfId="0" applyAlignment="1">
      <alignment horizontal="center" vertical="center" wrapText="1"/>
    </xf>
    <xf numFmtId="0" fontId="47" fillId="0" borderId="10" xfId="0" applyFont="1" applyBorder="1" applyAlignment="1">
      <alignment horizontal="left" vertical="center" wrapText="1"/>
    </xf>
    <xf numFmtId="0" fontId="0" fillId="24" borderId="10" xfId="0" applyFill="1" applyBorder="1" applyAlignment="1">
      <alignment horizontal="center" vertical="center" wrapText="1"/>
    </xf>
    <xf numFmtId="0" fontId="0" fillId="24" borderId="10" xfId="0" applyFill="1" applyBorder="1" applyAlignment="1">
      <alignment horizontal="center" vertical="center"/>
    </xf>
    <xf numFmtId="0" fontId="46" fillId="25" borderId="10" xfId="0" applyFont="1" applyFill="1" applyBorder="1" applyAlignment="1">
      <alignment horizontal="center" vertical="center"/>
    </xf>
    <xf numFmtId="0" fontId="48" fillId="0" borderId="10" xfId="0" applyFont="1" applyBorder="1" applyAlignment="1">
      <alignment horizontal="right"/>
    </xf>
    <xf numFmtId="0" fontId="48" fillId="0" borderId="10" xfId="0" applyFont="1" applyBorder="1"/>
    <xf numFmtId="0" fontId="49" fillId="0" borderId="10" xfId="0" applyFont="1" applyBorder="1"/>
    <xf numFmtId="0" fontId="49" fillId="0" borderId="10" xfId="0" applyFont="1" applyFill="1" applyBorder="1"/>
    <xf numFmtId="0" fontId="0" fillId="26" borderId="10" xfId="0" applyFill="1" applyBorder="1"/>
    <xf numFmtId="164" fontId="43" fillId="27" borderId="10" xfId="0" applyNumberFormat="1" applyFont="1" applyFill="1" applyBorder="1" applyAlignment="1">
      <alignment horizontal="center" vertical="center" wrapText="1"/>
    </xf>
    <xf numFmtId="164" fontId="43" fillId="28" borderId="10" xfId="0" applyNumberFormat="1" applyFont="1" applyFill="1" applyBorder="1" applyAlignment="1">
      <alignment horizontal="center" vertical="center" wrapText="1"/>
    </xf>
    <xf numFmtId="164" fontId="0" fillId="29" borderId="10" xfId="0" applyNumberFormat="1" applyFill="1" applyBorder="1" applyAlignment="1">
      <alignment horizontal="center" vertical="center" wrapText="1"/>
    </xf>
    <xf numFmtId="164" fontId="0" fillId="30" borderId="10" xfId="0" applyNumberFormat="1" applyFill="1" applyBorder="1" applyAlignment="1">
      <alignment horizontal="center" vertical="center" wrapText="1"/>
    </xf>
    <xf numFmtId="164" fontId="0" fillId="31" borderId="10" xfId="0" applyNumberFormat="1" applyFill="1" applyBorder="1" applyAlignment="1">
      <alignment horizontal="center" vertical="center" wrapText="1"/>
    </xf>
    <xf numFmtId="164" fontId="0" fillId="0" borderId="10" xfId="0" applyNumberFormat="1" applyBorder="1"/>
    <xf numFmtId="164" fontId="0" fillId="0" borderId="0" xfId="0" applyNumberFormat="1"/>
    <xf numFmtId="164" fontId="48" fillId="0" borderId="10" xfId="0" applyNumberFormat="1" applyFont="1" applyBorder="1"/>
    <xf numFmtId="0" fontId="0" fillId="0" borderId="10" xfId="0" applyBorder="1" applyAlignment="1">
      <alignment horizontal="left" vertical="center" wrapText="1"/>
    </xf>
    <xf numFmtId="0" fontId="5" fillId="26" borderId="10" xfId="40" applyFont="1" applyFill="1" applyBorder="1" applyAlignment="1">
      <alignment wrapText="1"/>
    </xf>
    <xf numFmtId="0" fontId="0" fillId="32" borderId="10" xfId="0" applyFill="1" applyBorder="1" applyAlignment="1">
      <alignment horizontal="left" vertical="center" wrapText="1"/>
    </xf>
    <xf numFmtId="0" fontId="46" fillId="25" borderId="10" xfId="0" applyFont="1" applyFill="1" applyBorder="1" applyAlignment="1">
      <alignment horizontal="center" vertical="center" wrapText="1"/>
    </xf>
    <xf numFmtId="0" fontId="50" fillId="25" borderId="10" xfId="0" applyFont="1" applyFill="1" applyBorder="1" applyAlignment="1">
      <alignment horizontal="center" vertical="center"/>
    </xf>
    <xf numFmtId="164" fontId="50" fillId="25" borderId="10" xfId="0" applyNumberFormat="1" applyFont="1" applyFill="1" applyBorder="1" applyAlignment="1">
      <alignment horizontal="center" vertical="center"/>
    </xf>
    <xf numFmtId="0" fontId="51" fillId="0" borderId="10" xfId="0" applyFont="1" applyBorder="1"/>
    <xf numFmtId="164" fontId="48" fillId="0" borderId="10" xfId="0" applyNumberFormat="1" applyFont="1" applyBorder="1" applyAlignment="1">
      <alignment horizontal="right"/>
    </xf>
    <xf numFmtId="0" fontId="0" fillId="0" borderId="10" xfId="0" applyFont="1" applyBorder="1"/>
    <xf numFmtId="164" fontId="0" fillId="0" borderId="10" xfId="0" applyNumberFormat="1" applyFont="1" applyBorder="1"/>
    <xf numFmtId="164" fontId="48" fillId="0" borderId="10" xfId="0" applyNumberFormat="1" applyFont="1" applyFill="1" applyBorder="1"/>
    <xf numFmtId="164" fontId="48" fillId="0" borderId="10" xfId="0" applyNumberFormat="1" applyFont="1" applyFill="1" applyBorder="1" applyAlignment="1">
      <alignment horizontal="right"/>
    </xf>
    <xf numFmtId="0" fontId="52" fillId="32" borderId="10" xfId="40" applyFont="1" applyFill="1" applyBorder="1" applyAlignment="1">
      <alignment wrapText="1"/>
    </xf>
    <xf numFmtId="0" fontId="52" fillId="26" borderId="10" xfId="40" applyFont="1" applyFill="1" applyBorder="1" applyAlignment="1">
      <alignment wrapText="1"/>
    </xf>
    <xf numFmtId="0" fontId="52" fillId="26" borderId="11" xfId="40" applyFont="1" applyFill="1" applyBorder="1" applyAlignment="1">
      <alignment horizontal="left" vertical="center" wrapText="1"/>
    </xf>
    <xf numFmtId="4" fontId="0" fillId="0" borderId="10" xfId="0" applyNumberFormat="1" applyBorder="1"/>
    <xf numFmtId="0" fontId="46" fillId="24" borderId="10" xfId="0" applyFont="1" applyFill="1" applyBorder="1" applyAlignment="1">
      <alignment horizontal="center" vertical="center" wrapText="1"/>
    </xf>
    <xf numFmtId="0" fontId="0" fillId="0" borderId="12" xfId="0" applyBorder="1" applyAlignment="1">
      <alignment horizontal="left" vertical="center"/>
    </xf>
    <xf numFmtId="0" fontId="0" fillId="33" borderId="10" xfId="0" applyFill="1" applyBorder="1"/>
    <xf numFmtId="2" fontId="0" fillId="25" borderId="10" xfId="0" applyNumberFormat="1" applyFill="1" applyBorder="1" applyAlignment="1">
      <alignment horizontal="center" vertical="center" wrapText="1"/>
    </xf>
    <xf numFmtId="2" fontId="14" fillId="24" borderId="10" xfId="0" applyNumberFormat="1" applyFont="1" applyFill="1" applyBorder="1" applyAlignment="1">
      <alignment horizontal="center" vertical="center" wrapText="1"/>
    </xf>
    <xf numFmtId="2" fontId="14" fillId="34" borderId="10" xfId="0" applyNumberFormat="1" applyFont="1" applyFill="1" applyBorder="1" applyAlignment="1">
      <alignment horizontal="center" vertical="center" wrapText="1"/>
    </xf>
    <xf numFmtId="2" fontId="14" fillId="31" borderId="10" xfId="0" applyNumberFormat="1" applyFont="1" applyFill="1" applyBorder="1" applyAlignment="1">
      <alignment horizontal="center" vertical="center" wrapText="1"/>
    </xf>
    <xf numFmtId="2" fontId="14" fillId="35" borderId="10" xfId="0" applyNumberFormat="1" applyFont="1" applyFill="1" applyBorder="1" applyAlignment="1">
      <alignment horizontal="center" vertical="center" wrapText="1"/>
    </xf>
    <xf numFmtId="0" fontId="0" fillId="36" borderId="10" xfId="0" applyFill="1" applyBorder="1"/>
    <xf numFmtId="4" fontId="0" fillId="36" borderId="10" xfId="0" applyNumberFormat="1" applyFill="1" applyBorder="1"/>
    <xf numFmtId="0" fontId="16" fillId="0" borderId="10" xfId="0" applyFont="1" applyFill="1" applyBorder="1"/>
    <xf numFmtId="0" fontId="0" fillId="0" borderId="0" xfId="0" applyAlignment="1">
      <alignment horizontal="right"/>
    </xf>
    <xf numFmtId="0" fontId="14" fillId="34" borderId="10" xfId="0" applyFont="1" applyFill="1" applyBorder="1" applyAlignment="1">
      <alignment horizontal="center"/>
    </xf>
    <xf numFmtId="0" fontId="17" fillId="0" borderId="0" xfId="0" applyFont="1"/>
    <xf numFmtId="0" fontId="17" fillId="0" borderId="0" xfId="0" applyFont="1" applyFill="1" applyBorder="1"/>
    <xf numFmtId="0" fontId="53" fillId="0" borderId="0" xfId="0" applyFont="1" applyFill="1" applyBorder="1" applyAlignment="1">
      <alignment horizontal="left"/>
    </xf>
    <xf numFmtId="2" fontId="0" fillId="0" borderId="10" xfId="0" applyNumberFormat="1" applyBorder="1"/>
    <xf numFmtId="0" fontId="47" fillId="0" borderId="10" xfId="0" applyFont="1" applyBorder="1" applyAlignment="1">
      <alignment horizontal="center" vertical="center"/>
    </xf>
    <xf numFmtId="0" fontId="0" fillId="0" borderId="10" xfId="0" applyBorder="1" applyAlignment="1">
      <alignment horizontal="center" vertical="center"/>
    </xf>
    <xf numFmtId="0" fontId="46" fillId="37" borderId="10" xfId="0" applyFont="1" applyFill="1" applyBorder="1" applyAlignment="1">
      <alignment horizontal="center" vertical="center" wrapText="1"/>
    </xf>
    <xf numFmtId="165" fontId="0" fillId="0" borderId="10" xfId="0" applyNumberFormat="1" applyBorder="1" applyAlignment="1">
      <alignment horizontal="center" vertical="center"/>
    </xf>
    <xf numFmtId="0" fontId="49" fillId="0" borderId="10" xfId="0" applyFont="1" applyBorder="1" applyAlignment="1">
      <alignment horizontal="center" vertical="center"/>
    </xf>
    <xf numFmtId="0" fontId="48" fillId="0" borderId="10" xfId="0" applyFont="1" applyBorder="1" applyAlignment="1">
      <alignment horizontal="center" vertical="center"/>
    </xf>
    <xf numFmtId="165" fontId="48" fillId="0" borderId="10" xfId="0" applyNumberFormat="1" applyFont="1" applyBorder="1" applyAlignment="1">
      <alignment horizontal="center" vertical="center"/>
    </xf>
    <xf numFmtId="0" fontId="46" fillId="24" borderId="10" xfId="0" applyFont="1" applyFill="1" applyBorder="1" applyAlignment="1">
      <alignment horizontal="center" vertical="center"/>
    </xf>
    <xf numFmtId="0" fontId="46" fillId="29" borderId="10" xfId="0" applyFont="1" applyFill="1" applyBorder="1" applyAlignment="1">
      <alignment horizontal="center" vertical="center" wrapText="1"/>
    </xf>
    <xf numFmtId="164" fontId="45" fillId="24" borderId="10" xfId="0" applyNumberFormat="1" applyFont="1" applyFill="1" applyBorder="1" applyAlignment="1">
      <alignment horizontal="center"/>
    </xf>
    <xf numFmtId="0" fontId="45" fillId="24" borderId="10" xfId="0" applyFont="1" applyFill="1" applyBorder="1" applyAlignment="1">
      <alignment horizontal="center"/>
    </xf>
    <xf numFmtId="164" fontId="54" fillId="24" borderId="10" xfId="0" applyNumberFormat="1" applyFont="1" applyFill="1" applyBorder="1" applyAlignment="1">
      <alignment horizontal="left"/>
    </xf>
    <xf numFmtId="164" fontId="45" fillId="24" borderId="10" xfId="0" applyNumberFormat="1" applyFont="1" applyFill="1" applyBorder="1"/>
    <xf numFmtId="0" fontId="0" fillId="24" borderId="10" xfId="0" applyFont="1" applyFill="1" applyBorder="1"/>
    <xf numFmtId="164" fontId="0" fillId="24" borderId="10" xfId="0" applyNumberFormat="1" applyFont="1" applyFill="1" applyBorder="1"/>
    <xf numFmtId="164" fontId="45" fillId="0" borderId="10" xfId="0" applyNumberFormat="1" applyFont="1" applyBorder="1" applyAlignment="1">
      <alignment horizontal="center"/>
    </xf>
    <xf numFmtId="0" fontId="45" fillId="0" borderId="10" xfId="0" applyFont="1" applyBorder="1" applyAlignment="1">
      <alignment horizontal="center"/>
    </xf>
    <xf numFmtId="164" fontId="54" fillId="0" borderId="10" xfId="0" applyNumberFormat="1" applyFont="1" applyBorder="1" applyAlignment="1">
      <alignment horizontal="left"/>
    </xf>
    <xf numFmtId="164" fontId="45" fillId="0" borderId="10" xfId="0" applyNumberFormat="1" applyFont="1" applyBorder="1"/>
    <xf numFmtId="164" fontId="54" fillId="0" borderId="10" xfId="0" applyNumberFormat="1" applyFont="1" applyFill="1" applyBorder="1" applyAlignment="1">
      <alignment horizontal="left"/>
    </xf>
    <xf numFmtId="164" fontId="54" fillId="29" borderId="10" xfId="0" applyNumberFormat="1" applyFont="1" applyFill="1" applyBorder="1" applyAlignment="1">
      <alignment horizontal="left"/>
    </xf>
    <xf numFmtId="2" fontId="0" fillId="0" borderId="10" xfId="0" applyNumberFormat="1" applyFont="1" applyBorder="1"/>
    <xf numFmtId="0" fontId="55" fillId="33" borderId="10" xfId="0" applyFont="1" applyFill="1" applyBorder="1"/>
    <xf numFmtId="0" fontId="56" fillId="26" borderId="10" xfId="40" applyFont="1" applyFill="1" applyBorder="1" applyAlignment="1">
      <alignment wrapText="1"/>
    </xf>
    <xf numFmtId="0" fontId="57" fillId="33" borderId="10" xfId="0" applyFont="1" applyFill="1" applyBorder="1"/>
    <xf numFmtId="0" fontId="58" fillId="24" borderId="10" xfId="0" applyFont="1" applyFill="1" applyBorder="1" applyAlignment="1">
      <alignment horizontal="center" vertical="center"/>
    </xf>
    <xf numFmtId="0" fontId="58" fillId="33" borderId="10" xfId="0" applyFont="1" applyFill="1" applyBorder="1"/>
    <xf numFmtId="164" fontId="58" fillId="0" borderId="0" xfId="0" applyNumberFormat="1" applyFont="1"/>
    <xf numFmtId="0" fontId="59" fillId="0" borderId="10" xfId="0" applyFont="1" applyBorder="1"/>
    <xf numFmtId="0" fontId="59" fillId="32" borderId="10" xfId="0" applyFont="1" applyFill="1" applyBorder="1"/>
    <xf numFmtId="0" fontId="59" fillId="0" borderId="10" xfId="0" applyFont="1" applyFill="1" applyBorder="1"/>
    <xf numFmtId="164" fontId="59" fillId="0" borderId="10" xfId="0" applyNumberFormat="1" applyFont="1" applyBorder="1"/>
    <xf numFmtId="0" fontId="58" fillId="0" borderId="0" xfId="0" applyFont="1"/>
    <xf numFmtId="0" fontId="60" fillId="33" borderId="10" xfId="0" applyFont="1" applyFill="1" applyBorder="1"/>
    <xf numFmtId="0" fontId="61" fillId="33" borderId="10" xfId="0" applyFont="1" applyFill="1" applyBorder="1"/>
    <xf numFmtId="0" fontId="60" fillId="0" borderId="10" xfId="0" applyFont="1" applyFill="1" applyBorder="1"/>
    <xf numFmtId="0" fontId="58" fillId="0" borderId="10" xfId="0" applyFont="1" applyFill="1" applyBorder="1"/>
    <xf numFmtId="0" fontId="62" fillId="26" borderId="10" xfId="40" applyFont="1" applyFill="1" applyBorder="1" applyAlignment="1">
      <alignment wrapText="1"/>
    </xf>
    <xf numFmtId="0" fontId="46" fillId="0" borderId="0" xfId="0" applyFont="1"/>
    <xf numFmtId="164" fontId="46" fillId="30" borderId="10" xfId="0" applyNumberFormat="1" applyFont="1" applyFill="1" applyBorder="1" applyAlignment="1">
      <alignment horizontal="center" vertical="center" wrapText="1"/>
    </xf>
    <xf numFmtId="164" fontId="0" fillId="38" borderId="10" xfId="0" applyNumberFormat="1" applyFill="1" applyBorder="1" applyAlignment="1">
      <alignment horizontal="center" vertical="center"/>
    </xf>
    <xf numFmtId="0" fontId="0" fillId="39" borderId="10" xfId="0" applyFill="1" applyBorder="1" applyAlignment="1">
      <alignment horizontal="center" vertical="center"/>
    </xf>
    <xf numFmtId="164" fontId="0" fillId="39" borderId="10" xfId="0" applyNumberFormat="1" applyFill="1" applyBorder="1" applyAlignment="1">
      <alignment horizontal="center" vertical="center"/>
    </xf>
    <xf numFmtId="0" fontId="63" fillId="0" borderId="10" xfId="0" applyFont="1" applyBorder="1" applyAlignment="1">
      <alignment horizontal="center" vertical="center"/>
    </xf>
    <xf numFmtId="0" fontId="64" fillId="0" borderId="10" xfId="0" applyFont="1" applyBorder="1" applyAlignment="1">
      <alignment horizontal="center" vertical="center"/>
    </xf>
    <xf numFmtId="165" fontId="64" fillId="0" borderId="10" xfId="0" applyNumberFormat="1" applyFont="1" applyBorder="1" applyAlignment="1">
      <alignment horizontal="center" vertical="center"/>
    </xf>
    <xf numFmtId="0" fontId="0" fillId="30" borderId="10" xfId="0" applyFill="1" applyBorder="1" applyAlignment="1">
      <alignment horizontal="center" vertical="center"/>
    </xf>
    <xf numFmtId="164" fontId="0" fillId="30" borderId="10" xfId="0" applyNumberFormat="1" applyFill="1" applyBorder="1" applyAlignment="1">
      <alignment horizontal="center" vertical="center"/>
    </xf>
    <xf numFmtId="164" fontId="48" fillId="38" borderId="10" xfId="0" applyNumberFormat="1" applyFont="1" applyFill="1" applyBorder="1" applyAlignment="1">
      <alignment horizontal="center" vertical="center"/>
    </xf>
    <xf numFmtId="2" fontId="0" fillId="39" borderId="10" xfId="0" applyNumberFormat="1" applyFill="1" applyBorder="1" applyAlignment="1">
      <alignment horizontal="center" vertical="center"/>
    </xf>
    <xf numFmtId="2" fontId="0" fillId="38" borderId="10" xfId="0" applyNumberFormat="1" applyFill="1" applyBorder="1" applyAlignment="1">
      <alignment horizontal="center" vertical="center"/>
    </xf>
    <xf numFmtId="165" fontId="65" fillId="0" borderId="10" xfId="0" applyNumberFormat="1" applyFont="1" applyBorder="1" applyAlignment="1">
      <alignment horizontal="center" vertical="center"/>
    </xf>
    <xf numFmtId="0" fontId="47" fillId="0" borderId="0" xfId="0" applyFont="1" applyFill="1" applyAlignment="1">
      <alignment horizontal="left" indent="2"/>
    </xf>
    <xf numFmtId="0" fontId="66" fillId="0" borderId="10" xfId="0" applyFont="1" applyFill="1" applyBorder="1"/>
    <xf numFmtId="4" fontId="67" fillId="36" borderId="10" xfId="0" applyNumberFormat="1" applyFont="1" applyFill="1" applyBorder="1"/>
    <xf numFmtId="0" fontId="47" fillId="0" borderId="0" xfId="0" applyFont="1" applyFill="1" applyAlignment="1">
      <alignment horizontal="left" vertical="center" wrapText="1"/>
    </xf>
    <xf numFmtId="0" fontId="68" fillId="0" borderId="0" xfId="0" applyFont="1" applyAlignment="1">
      <alignment vertical="center"/>
    </xf>
    <xf numFmtId="0" fontId="0" fillId="0" borderId="0" xfId="0" applyAlignment="1">
      <alignment horizontal="left"/>
    </xf>
    <xf numFmtId="0" fontId="47" fillId="0" borderId="0" xfId="0" applyFont="1" applyBorder="1" applyAlignment="1">
      <alignment horizontal="left" vertical="center" indent="2"/>
    </xf>
    <xf numFmtId="0" fontId="49" fillId="0" borderId="0" xfId="0" applyFont="1" applyBorder="1" applyAlignment="1">
      <alignment horizontal="left" vertical="center" indent="2"/>
    </xf>
    <xf numFmtId="0" fontId="0" fillId="0" borderId="0" xfId="0" applyBorder="1" applyAlignment="1">
      <alignment horizontal="left" indent="2"/>
    </xf>
    <xf numFmtId="2" fontId="46" fillId="25" borderId="10" xfId="0" applyNumberFormat="1" applyFont="1" applyFill="1" applyBorder="1" applyAlignment="1">
      <alignment horizontal="center" vertical="center" wrapText="1"/>
    </xf>
    <xf numFmtId="0" fontId="17" fillId="0" borderId="10" xfId="0" applyFont="1" applyFill="1" applyBorder="1"/>
    <xf numFmtId="0" fontId="0" fillId="0" borderId="0" xfId="0" applyFont="1"/>
    <xf numFmtId="0" fontId="0" fillId="0" borderId="0" xfId="0" applyFont="1" applyBorder="1" applyAlignment="1">
      <alignment horizontal="left" vertical="center" indent="2"/>
    </xf>
    <xf numFmtId="0" fontId="48" fillId="0" borderId="0" xfId="0" applyFont="1" applyBorder="1" applyAlignment="1">
      <alignment horizontal="left" vertical="center" indent="2"/>
    </xf>
    <xf numFmtId="0" fontId="0" fillId="0" borderId="0" xfId="0" applyFont="1" applyBorder="1" applyAlignment="1">
      <alignment horizontal="left" indent="2"/>
    </xf>
    <xf numFmtId="0" fontId="65" fillId="0" borderId="10" xfId="0" applyFont="1" applyFill="1" applyBorder="1"/>
    <xf numFmtId="167" fontId="0" fillId="0" borderId="10" xfId="0" applyNumberFormat="1" applyBorder="1"/>
    <xf numFmtId="2" fontId="14" fillId="40" borderId="10" xfId="0" applyNumberFormat="1" applyFont="1" applyFill="1" applyBorder="1" applyAlignment="1">
      <alignment horizontal="center" vertical="center" wrapText="1"/>
    </xf>
    <xf numFmtId="164" fontId="14" fillId="35" borderId="12" xfId="0" applyNumberFormat="1" applyFont="1" applyFill="1" applyBorder="1" applyAlignment="1">
      <alignment horizontal="center" vertical="center" wrapText="1"/>
    </xf>
    <xf numFmtId="168" fontId="0" fillId="0" borderId="10" xfId="0" applyNumberFormat="1" applyBorder="1"/>
    <xf numFmtId="0" fontId="66" fillId="0" borderId="0" xfId="0" applyFont="1" applyFill="1" applyBorder="1"/>
    <xf numFmtId="0" fontId="17" fillId="0" borderId="13" xfId="0" applyFont="1" applyFill="1" applyBorder="1"/>
    <xf numFmtId="0" fontId="0" fillId="41" borderId="10" xfId="0" applyFill="1" applyBorder="1"/>
    <xf numFmtId="0" fontId="57" fillId="41" borderId="10" xfId="0" applyFont="1" applyFill="1" applyBorder="1"/>
    <xf numFmtId="0" fontId="58" fillId="41" borderId="10" xfId="0" applyFont="1" applyFill="1" applyBorder="1"/>
    <xf numFmtId="0" fontId="61" fillId="41" borderId="10" xfId="0" applyFont="1" applyFill="1" applyBorder="1"/>
    <xf numFmtId="0" fontId="4" fillId="32" borderId="10" xfId="40" applyFont="1" applyFill="1" applyBorder="1" applyAlignment="1">
      <alignment wrapText="1"/>
    </xf>
    <xf numFmtId="0" fontId="58" fillId="41" borderId="0" xfId="0" applyFont="1" applyFill="1"/>
    <xf numFmtId="0" fontId="0" fillId="26" borderId="10" xfId="0" applyFill="1" applyBorder="1" applyAlignment="1">
      <alignment horizontal="left"/>
    </xf>
    <xf numFmtId="0" fontId="0" fillId="33" borderId="10" xfId="0" applyFill="1" applyBorder="1" applyAlignment="1">
      <alignment horizontal="left"/>
    </xf>
    <xf numFmtId="0" fontId="0" fillId="0" borderId="10" xfId="0" applyBorder="1" applyAlignment="1">
      <alignment horizontal="left"/>
    </xf>
    <xf numFmtId="0" fontId="58" fillId="41" borderId="10" xfId="0" applyFont="1" applyFill="1" applyBorder="1" applyAlignment="1">
      <alignment horizontal="left"/>
    </xf>
    <xf numFmtId="164" fontId="48" fillId="0" borderId="10" xfId="0" applyNumberFormat="1" applyFont="1" applyFill="1" applyBorder="1" applyAlignment="1">
      <alignment horizontal="right" vertical="center"/>
    </xf>
    <xf numFmtId="3" fontId="0" fillId="0" borderId="10" xfId="0" applyNumberFormat="1" applyBorder="1" applyAlignment="1">
      <alignment horizontal="right" vertical="center"/>
    </xf>
    <xf numFmtId="0" fontId="44" fillId="42" borderId="10" xfId="0" applyFont="1" applyFill="1" applyBorder="1" applyAlignment="1">
      <alignment horizontal="center" vertical="center"/>
    </xf>
    <xf numFmtId="0" fontId="44" fillId="42" borderId="10" xfId="0" applyFont="1" applyFill="1" applyBorder="1" applyAlignment="1">
      <alignment horizontal="center" vertical="center" wrapText="1"/>
    </xf>
    <xf numFmtId="0" fontId="46" fillId="0" borderId="0" xfId="0" applyFont="1" applyFill="1" applyBorder="1"/>
    <xf numFmtId="0" fontId="46" fillId="24" borderId="0" xfId="0" applyFont="1" applyFill="1" applyBorder="1" applyAlignment="1">
      <alignment horizontal="center" vertical="center"/>
    </xf>
    <xf numFmtId="0" fontId="0" fillId="0" borderId="0" xfId="0" applyBorder="1"/>
    <xf numFmtId="0" fontId="20" fillId="0" borderId="0" xfId="0" applyFont="1" applyFill="1" applyBorder="1" applyAlignment="1">
      <alignment horizontal="center" vertical="center"/>
    </xf>
    <xf numFmtId="0" fontId="20" fillId="0" borderId="0" xfId="0" applyFont="1" applyFill="1" applyBorder="1" applyAlignment="1">
      <alignment horizontal="left" vertical="center"/>
    </xf>
    <xf numFmtId="0" fontId="0" fillId="0" borderId="0" xfId="0" applyBorder="1" applyAlignment="1">
      <alignment horizontal="left" vertical="center" wrapText="1"/>
    </xf>
    <xf numFmtId="0" fontId="0" fillId="30" borderId="0" xfId="0" applyFill="1" applyBorder="1"/>
    <xf numFmtId="0" fontId="0" fillId="0" borderId="0" xfId="0" applyFill="1" applyBorder="1"/>
    <xf numFmtId="0" fontId="60" fillId="0" borderId="0" xfId="0" applyFont="1" applyFill="1" applyBorder="1"/>
    <xf numFmtId="0" fontId="20" fillId="0" borderId="0" xfId="0" applyFont="1" applyFill="1" applyBorder="1"/>
    <xf numFmtId="0" fontId="60" fillId="0" borderId="0" xfId="0" applyFont="1" applyFill="1" applyBorder="1" applyAlignment="1">
      <alignment horizontal="justify" vertical="center"/>
    </xf>
    <xf numFmtId="0" fontId="49" fillId="0" borderId="0" xfId="0" applyFont="1" applyFill="1" applyBorder="1"/>
    <xf numFmtId="0" fontId="20" fillId="0" borderId="0" xfId="0" applyFont="1" applyFill="1" applyBorder="1" applyAlignment="1">
      <alignment horizontal="left"/>
    </xf>
    <xf numFmtId="0" fontId="46" fillId="29" borderId="0" xfId="0" applyFont="1" applyFill="1" applyBorder="1"/>
    <xf numFmtId="0" fontId="0" fillId="32" borderId="10" xfId="0" applyFill="1" applyBorder="1" applyAlignment="1">
      <alignment horizontal="left" vertical="center" wrapText="1" indent="2"/>
    </xf>
    <xf numFmtId="0" fontId="0" fillId="26" borderId="10" xfId="0" applyFill="1" applyBorder="1" applyAlignment="1">
      <alignment horizontal="left" indent="2"/>
    </xf>
    <xf numFmtId="0" fontId="0" fillId="33" borderId="10" xfId="0" applyFill="1" applyBorder="1" applyAlignment="1">
      <alignment horizontal="left" indent="2"/>
    </xf>
    <xf numFmtId="0" fontId="0" fillId="41" borderId="10" xfId="0" applyFill="1" applyBorder="1" applyAlignment="1">
      <alignment horizontal="left" indent="2"/>
    </xf>
    <xf numFmtId="0" fontId="57" fillId="0" borderId="10" xfId="0" applyFont="1" applyFill="1" applyBorder="1"/>
    <xf numFmtId="3" fontId="0" fillId="0" borderId="10" xfId="0" applyNumberFormat="1" applyFill="1" applyBorder="1" applyAlignment="1">
      <alignment horizontal="right" vertical="center"/>
    </xf>
    <xf numFmtId="4" fontId="0" fillId="0" borderId="10" xfId="0" applyNumberFormat="1" applyFill="1" applyBorder="1"/>
    <xf numFmtId="0" fontId="0" fillId="0" borderId="10" xfId="0" applyFill="1" applyBorder="1" applyAlignment="1">
      <alignment horizontal="left"/>
    </xf>
    <xf numFmtId="0" fontId="0" fillId="0" borderId="12" xfId="0" applyFill="1" applyBorder="1" applyAlignment="1">
      <alignment horizontal="left" vertical="center"/>
    </xf>
    <xf numFmtId="0" fontId="6" fillId="41" borderId="10" xfId="0" applyFont="1" applyFill="1" applyBorder="1"/>
    <xf numFmtId="0" fontId="59" fillId="41" borderId="10" xfId="0" applyFont="1" applyFill="1" applyBorder="1"/>
    <xf numFmtId="164" fontId="59" fillId="41" borderId="10" xfId="0" applyNumberFormat="1" applyFont="1" applyFill="1" applyBorder="1"/>
    <xf numFmtId="0" fontId="60" fillId="41" borderId="10" xfId="0" applyFont="1" applyFill="1" applyBorder="1"/>
    <xf numFmtId="0" fontId="46" fillId="0" borderId="10" xfId="0" applyFont="1" applyFill="1" applyBorder="1" applyAlignment="1">
      <alignment horizontal="center" vertical="center"/>
    </xf>
    <xf numFmtId="0" fontId="56" fillId="0" borderId="10" xfId="40" applyFont="1" applyFill="1" applyBorder="1" applyAlignment="1">
      <alignment wrapText="1"/>
    </xf>
    <xf numFmtId="0" fontId="55" fillId="0" borderId="10" xfId="0" applyFont="1" applyFill="1" applyBorder="1"/>
    <xf numFmtId="0" fontId="52" fillId="0" borderId="10" xfId="40" applyFont="1" applyFill="1" applyBorder="1" applyAlignment="1">
      <alignment wrapText="1"/>
    </xf>
    <xf numFmtId="0" fontId="5" fillId="0" borderId="10" xfId="40" applyFont="1" applyFill="1" applyBorder="1" applyAlignment="1">
      <alignment wrapText="1"/>
    </xf>
    <xf numFmtId="0" fontId="52" fillId="0" borderId="10" xfId="40" applyFont="1" applyFill="1" applyBorder="1" applyAlignment="1">
      <alignment vertical="center" wrapText="1"/>
    </xf>
    <xf numFmtId="0" fontId="61" fillId="0" borderId="10" xfId="0" applyFont="1" applyFill="1" applyBorder="1"/>
    <xf numFmtId="0" fontId="60" fillId="0" borderId="11" xfId="0" applyFont="1" applyFill="1" applyBorder="1"/>
    <xf numFmtId="0" fontId="52" fillId="0" borderId="11" xfId="40" applyFont="1" applyFill="1" applyBorder="1" applyAlignment="1">
      <alignment wrapText="1"/>
    </xf>
    <xf numFmtId="0" fontId="5" fillId="0" borderId="11" xfId="40" applyFont="1" applyFill="1" applyBorder="1" applyAlignment="1">
      <alignment wrapText="1"/>
    </xf>
    <xf numFmtId="0" fontId="58" fillId="0" borderId="0" xfId="0" applyFont="1" applyFill="1"/>
    <xf numFmtId="0" fontId="58" fillId="0" borderId="10" xfId="0" applyFont="1" applyFill="1" applyBorder="1" applyAlignment="1">
      <alignment horizontal="left"/>
    </xf>
    <xf numFmtId="0" fontId="57" fillId="0" borderId="11" xfId="0" applyFont="1" applyFill="1" applyBorder="1"/>
    <xf numFmtId="164" fontId="48" fillId="30" borderId="10" xfId="0" applyNumberFormat="1" applyFont="1" applyFill="1" applyBorder="1" applyAlignment="1">
      <alignment horizontal="right"/>
    </xf>
    <xf numFmtId="0" fontId="60" fillId="30" borderId="10" xfId="0" applyFont="1" applyFill="1" applyBorder="1"/>
    <xf numFmtId="0" fontId="61" fillId="0" borderId="14" xfId="0" applyFont="1" applyFill="1" applyBorder="1"/>
    <xf numFmtId="0" fontId="52" fillId="32" borderId="14" xfId="40" applyFont="1" applyFill="1" applyBorder="1" applyAlignment="1">
      <alignment horizontal="left" vertical="center" wrapText="1"/>
    </xf>
    <xf numFmtId="0" fontId="46" fillId="41" borderId="10" xfId="0" applyFont="1" applyFill="1" applyBorder="1" applyAlignment="1">
      <alignment horizontal="center" vertical="center" wrapText="1"/>
    </xf>
    <xf numFmtId="0" fontId="49" fillId="0" borderId="10" xfId="0" applyFont="1" applyFill="1" applyBorder="1" applyAlignment="1">
      <alignment horizontal="left" vertical="center"/>
    </xf>
    <xf numFmtId="0" fontId="48" fillId="0" borderId="10" xfId="0" applyFont="1" applyFill="1" applyBorder="1"/>
    <xf numFmtId="0" fontId="69" fillId="30" borderId="15" xfId="0" applyFont="1" applyFill="1" applyBorder="1" applyAlignment="1">
      <alignment horizontal="center"/>
    </xf>
    <xf numFmtId="0" fontId="69" fillId="29" borderId="15" xfId="0" applyFont="1" applyFill="1" applyBorder="1" applyAlignment="1">
      <alignment horizontal="center"/>
    </xf>
    <xf numFmtId="0" fontId="46" fillId="31" borderId="10" xfId="0" applyFont="1" applyFill="1" applyBorder="1" applyAlignment="1">
      <alignment horizontal="center"/>
    </xf>
    <xf numFmtId="0" fontId="44" fillId="27" borderId="15" xfId="0" applyFont="1" applyFill="1" applyBorder="1" applyAlignment="1">
      <alignment horizontal="center"/>
    </xf>
    <xf numFmtId="0" fontId="44" fillId="28" borderId="15" xfId="0" applyFont="1" applyFill="1" applyBorder="1" applyAlignment="1">
      <alignment horizontal="center"/>
    </xf>
    <xf numFmtId="0" fontId="49" fillId="0" borderId="10" xfId="0" applyFont="1" applyBorder="1" applyAlignment="1">
      <alignment horizontal="left" vertical="center"/>
    </xf>
    <xf numFmtId="0" fontId="49" fillId="24" borderId="10" xfId="0" applyFont="1" applyFill="1" applyBorder="1" applyAlignment="1">
      <alignment horizontal="left" vertical="center"/>
    </xf>
    <xf numFmtId="0" fontId="48" fillId="24" borderId="10" xfId="0" applyFont="1" applyFill="1" applyBorder="1"/>
    <xf numFmtId="164" fontId="48" fillId="24" borderId="10" xfId="0" applyNumberFormat="1" applyFont="1" applyFill="1" applyBorder="1"/>
    <xf numFmtId="164" fontId="0" fillId="30" borderId="10" xfId="0" applyNumberFormat="1" applyFill="1" applyBorder="1"/>
    <xf numFmtId="0" fontId="60" fillId="37" borderId="10" xfId="0" applyFont="1" applyFill="1" applyBorder="1"/>
    <xf numFmtId="0" fontId="6" fillId="37" borderId="10" xfId="0" applyFont="1" applyFill="1" applyBorder="1"/>
    <xf numFmtId="164" fontId="0" fillId="37" borderId="10" xfId="0" applyNumberFormat="1" applyFill="1" applyBorder="1"/>
    <xf numFmtId="0" fontId="20" fillId="0" borderId="10" xfId="0" applyFont="1" applyFill="1" applyBorder="1"/>
    <xf numFmtId="0" fontId="6" fillId="0" borderId="10" xfId="40" applyFont="1" applyFill="1" applyBorder="1" applyAlignment="1">
      <alignment wrapText="1"/>
    </xf>
    <xf numFmtId="0" fontId="20" fillId="0" borderId="10" xfId="0" applyFont="1" applyFill="1" applyBorder="1" applyAlignment="1">
      <alignment horizontal="left" vertical="center"/>
    </xf>
    <xf numFmtId="0" fontId="76" fillId="24" borderId="10" xfId="0" applyFont="1" applyFill="1" applyBorder="1" applyAlignment="1">
      <alignment horizontal="center" vertical="center"/>
    </xf>
    <xf numFmtId="0" fontId="20" fillId="0" borderId="14" xfId="0" applyFont="1" applyFill="1" applyBorder="1" applyAlignment="1">
      <alignment horizontal="left" vertical="center"/>
    </xf>
    <xf numFmtId="0" fontId="20" fillId="0" borderId="11" xfId="0" applyFont="1" applyFill="1" applyBorder="1" applyAlignment="1">
      <alignment horizontal="left" vertical="center"/>
    </xf>
    <xf numFmtId="0" fontId="72" fillId="34" borderId="0" xfId="0" applyFont="1" applyFill="1" applyProtection="1"/>
    <xf numFmtId="0" fontId="109" fillId="34" borderId="0" xfId="0" applyFont="1" applyFill="1" applyBorder="1" applyAlignment="1" applyProtection="1">
      <alignment horizontal="center" vertical="center" wrapText="1"/>
    </xf>
    <xf numFmtId="0" fontId="109" fillId="43" borderId="16" xfId="0" applyFont="1" applyFill="1" applyBorder="1" applyAlignment="1" applyProtection="1">
      <alignment horizontal="center" vertical="center" wrapText="1"/>
    </xf>
    <xf numFmtId="0" fontId="71" fillId="24" borderId="10" xfId="0" applyFont="1" applyFill="1" applyBorder="1" applyAlignment="1" applyProtection="1">
      <alignment horizontal="center" vertical="center"/>
    </xf>
    <xf numFmtId="164" fontId="43" fillId="27" borderId="10" xfId="0" applyNumberFormat="1" applyFont="1" applyFill="1" applyBorder="1" applyAlignment="1" applyProtection="1">
      <alignment horizontal="center" vertical="center" wrapText="1"/>
    </xf>
    <xf numFmtId="164" fontId="43" fillId="28" borderId="10" xfId="0" applyNumberFormat="1" applyFont="1" applyFill="1" applyBorder="1" applyAlignment="1" applyProtection="1">
      <alignment horizontal="center" vertical="center" wrapText="1"/>
    </xf>
    <xf numFmtId="164" fontId="0" fillId="29" borderId="10" xfId="0" applyNumberFormat="1" applyFill="1" applyBorder="1" applyAlignment="1" applyProtection="1">
      <alignment horizontal="center" vertical="center" wrapText="1"/>
    </xf>
    <xf numFmtId="164" fontId="0" fillId="30" borderId="10" xfId="0" applyNumberFormat="1" applyFill="1" applyBorder="1" applyAlignment="1" applyProtection="1">
      <alignment horizontal="center" vertical="center" wrapText="1"/>
    </xf>
    <xf numFmtId="164" fontId="0" fillId="31" borderId="10" xfId="0" applyNumberFormat="1" applyFill="1" applyBorder="1" applyAlignment="1" applyProtection="1">
      <alignment horizontal="center" vertical="center" wrapText="1"/>
    </xf>
    <xf numFmtId="0" fontId="71" fillId="0" borderId="10" xfId="0" applyFont="1" applyFill="1" applyBorder="1" applyAlignment="1" applyProtection="1">
      <alignment horizontal="center" vertical="center"/>
    </xf>
    <xf numFmtId="166" fontId="79" fillId="0" borderId="1" xfId="40" applyNumberFormat="1" applyFont="1" applyFill="1" applyBorder="1" applyAlignment="1" applyProtection="1">
      <alignment vertical="center" wrapText="1"/>
    </xf>
    <xf numFmtId="0" fontId="109" fillId="43" borderId="17" xfId="0" applyFont="1" applyFill="1" applyBorder="1" applyAlignment="1" applyProtection="1">
      <alignment horizontal="center" vertical="center" wrapText="1"/>
    </xf>
    <xf numFmtId="164" fontId="79" fillId="0" borderId="10" xfId="40" applyNumberFormat="1" applyFont="1" applyFill="1" applyBorder="1" applyAlignment="1" applyProtection="1">
      <alignment horizontal="right" vertical="center" wrapText="1"/>
    </xf>
    <xf numFmtId="164" fontId="79" fillId="0" borderId="11" xfId="40" applyNumberFormat="1" applyFont="1" applyFill="1" applyBorder="1" applyAlignment="1" applyProtection="1">
      <alignment horizontal="right" vertical="center" wrapText="1"/>
    </xf>
    <xf numFmtId="0" fontId="109" fillId="43" borderId="18" xfId="0" applyFont="1" applyFill="1" applyBorder="1" applyAlignment="1" applyProtection="1">
      <alignment horizontal="center" vertical="center"/>
    </xf>
    <xf numFmtId="0" fontId="110" fillId="34" borderId="0" xfId="0" applyFont="1" applyFill="1"/>
    <xf numFmtId="0" fontId="74" fillId="24" borderId="10" xfId="40" applyFont="1" applyFill="1" applyBorder="1" applyAlignment="1" applyProtection="1">
      <alignment wrapText="1"/>
    </xf>
    <xf numFmtId="0" fontId="110" fillId="0" borderId="10" xfId="0" applyFont="1" applyBorder="1"/>
    <xf numFmtId="164" fontId="110" fillId="37" borderId="10" xfId="0" applyNumberFormat="1" applyFont="1" applyFill="1" applyBorder="1"/>
    <xf numFmtId="0" fontId="11" fillId="0" borderId="10" xfId="0" applyFont="1" applyBorder="1" applyAlignment="1">
      <alignment horizontal="left" vertical="center" wrapText="1"/>
    </xf>
    <xf numFmtId="49" fontId="110" fillId="0" borderId="0" xfId="0" applyNumberFormat="1" applyFont="1" applyFill="1" applyAlignment="1">
      <alignment horizontal="left"/>
    </xf>
    <xf numFmtId="0" fontId="111" fillId="43" borderId="19" xfId="0" applyFont="1" applyFill="1" applyBorder="1" applyAlignment="1" applyProtection="1">
      <alignment horizontal="center" vertical="center" wrapText="1"/>
    </xf>
    <xf numFmtId="0" fontId="72" fillId="44" borderId="10" xfId="0" applyFont="1" applyFill="1" applyBorder="1" applyAlignment="1" applyProtection="1">
      <alignment horizontal="center" vertical="center"/>
    </xf>
    <xf numFmtId="164" fontId="113" fillId="0" borderId="11" xfId="0" applyNumberFormat="1" applyFont="1" applyBorder="1"/>
    <xf numFmtId="0" fontId="52" fillId="34" borderId="10" xfId="40" applyFont="1" applyFill="1" applyBorder="1" applyAlignment="1">
      <alignment vertical="center" wrapText="1"/>
    </xf>
    <xf numFmtId="164" fontId="0" fillId="34" borderId="10" xfId="0" applyNumberFormat="1" applyFill="1" applyBorder="1"/>
    <xf numFmtId="0" fontId="114" fillId="34" borderId="0" xfId="0" applyFont="1" applyFill="1"/>
    <xf numFmtId="0" fontId="115" fillId="34" borderId="0" xfId="0" applyFont="1" applyFill="1" applyBorder="1"/>
    <xf numFmtId="2" fontId="116" fillId="34" borderId="0" xfId="0" applyNumberFormat="1" applyFont="1" applyFill="1" applyBorder="1"/>
    <xf numFmtId="0" fontId="110" fillId="34" borderId="0" xfId="0" applyFont="1" applyFill="1" applyProtection="1"/>
    <xf numFmtId="164" fontId="72" fillId="0" borderId="1" xfId="0" applyNumberFormat="1" applyFont="1" applyBorder="1" applyAlignment="1" applyProtection="1">
      <alignment vertical="center"/>
    </xf>
    <xf numFmtId="0" fontId="112" fillId="0" borderId="20" xfId="0" applyFont="1" applyFill="1" applyBorder="1" applyProtection="1"/>
    <xf numFmtId="4" fontId="112" fillId="0" borderId="21" xfId="0" applyNumberFormat="1" applyFont="1" applyFill="1" applyBorder="1" applyProtection="1"/>
    <xf numFmtId="4" fontId="79" fillId="0" borderId="21" xfId="0" applyNumberFormat="1" applyFont="1" applyFill="1" applyBorder="1" applyProtection="1"/>
    <xf numFmtId="0" fontId="117" fillId="34" borderId="0" xfId="0" applyFont="1" applyFill="1"/>
    <xf numFmtId="0" fontId="52" fillId="30" borderId="10" xfId="40" applyFont="1" applyFill="1" applyBorder="1" applyAlignment="1">
      <alignment wrapText="1"/>
    </xf>
    <xf numFmtId="0" fontId="71" fillId="0" borderId="22" xfId="0" applyFont="1" applyFill="1" applyBorder="1" applyAlignment="1" applyProtection="1">
      <alignment horizontal="left" vertical="center"/>
    </xf>
    <xf numFmtId="0" fontId="110" fillId="34" borderId="0" xfId="0" applyFont="1" applyFill="1" applyAlignment="1">
      <alignment horizontal="center"/>
    </xf>
    <xf numFmtId="0" fontId="109" fillId="34" borderId="0" xfId="0" applyFont="1" applyFill="1" applyBorder="1" applyAlignment="1" applyProtection="1">
      <alignment vertical="center" wrapText="1"/>
    </xf>
    <xf numFmtId="0" fontId="119" fillId="34" borderId="0" xfId="0" applyFont="1" applyFill="1" applyBorder="1" applyAlignment="1" applyProtection="1">
      <alignment horizontal="left" vertical="center" wrapText="1"/>
    </xf>
    <xf numFmtId="0" fontId="85" fillId="34" borderId="0" xfId="0" applyNumberFormat="1" applyFont="1" applyFill="1" applyBorder="1" applyAlignment="1" applyProtection="1">
      <alignment horizontal="left" vertical="center" wrapText="1"/>
    </xf>
    <xf numFmtId="0" fontId="72" fillId="34" borderId="0" xfId="0" applyFont="1" applyFill="1" applyAlignment="1">
      <alignment horizontal="right"/>
    </xf>
    <xf numFmtId="0" fontId="110" fillId="34" borderId="0" xfId="0" applyFont="1" applyFill="1" applyAlignment="1">
      <alignment horizontal="right"/>
    </xf>
    <xf numFmtId="0" fontId="72" fillId="34" borderId="0" xfId="0" applyFont="1" applyFill="1" applyBorder="1" applyAlignment="1" applyProtection="1">
      <alignment vertical="center" wrapText="1"/>
    </xf>
    <xf numFmtId="0" fontId="72" fillId="34" borderId="23" xfId="0" applyFont="1" applyFill="1" applyBorder="1" applyAlignment="1" applyProtection="1">
      <alignment vertical="center" wrapText="1"/>
    </xf>
    <xf numFmtId="0" fontId="121" fillId="34" borderId="0" xfId="0" applyFont="1" applyFill="1" applyAlignment="1">
      <alignment horizontal="center"/>
    </xf>
    <xf numFmtId="0" fontId="122" fillId="34" borderId="0" xfId="0" applyFont="1" applyFill="1"/>
    <xf numFmtId="0" fontId="110" fillId="34" borderId="10" xfId="0" applyFont="1" applyFill="1" applyBorder="1"/>
    <xf numFmtId="1" fontId="110" fillId="0" borderId="10" xfId="0" applyNumberFormat="1" applyFont="1" applyFill="1" applyBorder="1" applyAlignment="1">
      <alignment horizontal="center"/>
    </xf>
    <xf numFmtId="0" fontId="109" fillId="43" borderId="24" xfId="0" applyFont="1" applyFill="1" applyBorder="1" applyAlignment="1" applyProtection="1">
      <alignment horizontal="center" vertical="center"/>
    </xf>
    <xf numFmtId="164" fontId="79" fillId="0" borderId="25" xfId="40" applyNumberFormat="1" applyFont="1" applyFill="1" applyBorder="1" applyAlignment="1" applyProtection="1">
      <alignment horizontal="right" vertical="center" wrapText="1"/>
    </xf>
    <xf numFmtId="0" fontId="110" fillId="33" borderId="10" xfId="0" applyFont="1" applyFill="1" applyBorder="1" applyAlignment="1">
      <alignment horizontal="center"/>
    </xf>
    <xf numFmtId="1" fontId="110" fillId="0" borderId="10" xfId="0" applyNumberFormat="1" applyFont="1" applyFill="1" applyBorder="1"/>
    <xf numFmtId="4" fontId="71" fillId="0" borderId="26" xfId="0" applyNumberFormat="1" applyFont="1" applyFill="1" applyBorder="1" applyAlignment="1" applyProtection="1">
      <alignment horizontal="right" vertical="center" wrapText="1"/>
    </xf>
    <xf numFmtId="3" fontId="110" fillId="0" borderId="10" xfId="0" applyNumberFormat="1" applyFont="1" applyFill="1" applyBorder="1"/>
    <xf numFmtId="0" fontId="90" fillId="34" borderId="27" xfId="0" applyFont="1" applyFill="1" applyBorder="1" applyAlignment="1" applyProtection="1">
      <alignment horizontal="right" vertical="center" wrapText="1"/>
    </xf>
    <xf numFmtId="0" fontId="90" fillId="34" borderId="28" xfId="0" applyFont="1" applyFill="1" applyBorder="1" applyAlignment="1" applyProtection="1">
      <alignment horizontal="right" vertical="center" wrapText="1"/>
    </xf>
    <xf numFmtId="0" fontId="110" fillId="34" borderId="28" xfId="0" applyFont="1" applyFill="1" applyBorder="1"/>
    <xf numFmtId="0" fontId="72" fillId="34" borderId="28" xfId="0" applyFont="1" applyFill="1" applyBorder="1" applyAlignment="1" applyProtection="1">
      <alignment vertical="center" wrapText="1"/>
    </xf>
    <xf numFmtId="1" fontId="72" fillId="38" borderId="0" xfId="0" applyNumberFormat="1" applyFont="1" applyFill="1" applyProtection="1"/>
    <xf numFmtId="1" fontId="110" fillId="38" borderId="0" xfId="0" applyNumberFormat="1" applyFont="1" applyFill="1"/>
    <xf numFmtId="1" fontId="113" fillId="0" borderId="20" xfId="0" applyNumberFormat="1" applyFont="1" applyFill="1" applyBorder="1" applyAlignment="1" applyProtection="1">
      <alignment horizontal="right"/>
    </xf>
    <xf numFmtId="4" fontId="123" fillId="38" borderId="10" xfId="0" applyNumberFormat="1" applyFont="1" applyFill="1" applyBorder="1" applyProtection="1"/>
    <xf numFmtId="1" fontId="123" fillId="24" borderId="10" xfId="0" applyNumberFormat="1" applyFont="1" applyFill="1" applyBorder="1" applyAlignment="1" applyProtection="1">
      <alignment horizontal="center" vertical="center"/>
    </xf>
    <xf numFmtId="4" fontId="123" fillId="33" borderId="1" xfId="0" applyNumberFormat="1" applyFont="1" applyFill="1" applyBorder="1" applyProtection="1"/>
    <xf numFmtId="0" fontId="111" fillId="43" borderId="29" xfId="0" applyFont="1" applyFill="1" applyBorder="1" applyAlignment="1" applyProtection="1">
      <alignment horizontal="center" vertical="center" wrapText="1"/>
    </xf>
    <xf numFmtId="0" fontId="109" fillId="43" borderId="0" xfId="0" applyFont="1" applyFill="1" applyBorder="1" applyAlignment="1" applyProtection="1">
      <alignment horizontal="center" vertical="center" wrapText="1"/>
    </xf>
    <xf numFmtId="0" fontId="109" fillId="43" borderId="0" xfId="0" applyFont="1" applyFill="1" applyBorder="1" applyAlignment="1" applyProtection="1">
      <alignment vertical="center" wrapText="1"/>
    </xf>
    <xf numFmtId="0" fontId="111" fillId="43" borderId="30" xfId="0" applyFont="1" applyFill="1" applyBorder="1" applyAlignment="1">
      <alignment horizontal="center" vertical="center" wrapText="1"/>
    </xf>
    <xf numFmtId="0" fontId="110" fillId="34" borderId="10" xfId="0" applyFont="1" applyFill="1" applyBorder="1" applyAlignment="1">
      <alignment horizontal="center"/>
    </xf>
    <xf numFmtId="0" fontId="110" fillId="34" borderId="0" xfId="0" applyFont="1" applyFill="1" applyBorder="1" applyAlignment="1" applyProtection="1">
      <alignment horizontal="center"/>
    </xf>
    <xf numFmtId="4" fontId="112" fillId="0" borderId="31" xfId="0" applyNumberFormat="1" applyFont="1" applyFill="1" applyBorder="1" applyAlignment="1" applyProtection="1">
      <alignment horizontal="right"/>
    </xf>
    <xf numFmtId="4" fontId="123" fillId="0" borderId="22" xfId="0" applyNumberFormat="1" applyFont="1" applyFill="1" applyBorder="1" applyAlignment="1" applyProtection="1">
      <alignment horizontal="right"/>
    </xf>
    <xf numFmtId="4" fontId="123" fillId="33" borderId="22" xfId="0" applyNumberFormat="1" applyFont="1" applyFill="1" applyBorder="1" applyAlignment="1" applyProtection="1">
      <alignment horizontal="right"/>
    </xf>
    <xf numFmtId="0" fontId="83" fillId="34" borderId="0" xfId="0" applyFont="1" applyFill="1" applyBorder="1" applyProtection="1"/>
    <xf numFmtId="0" fontId="95" fillId="34" borderId="0" xfId="0" applyFont="1" applyFill="1" applyBorder="1" applyAlignment="1" applyProtection="1">
      <alignment horizontal="center" vertical="center"/>
    </xf>
    <xf numFmtId="0" fontId="82" fillId="34" borderId="0" xfId="0" applyFont="1" applyFill="1" applyBorder="1" applyAlignment="1" applyProtection="1"/>
    <xf numFmtId="0" fontId="96" fillId="34" borderId="0" xfId="0" applyFont="1" applyFill="1" applyBorder="1" applyAlignment="1" applyProtection="1">
      <alignment vertical="center" wrapText="1"/>
    </xf>
    <xf numFmtId="0" fontId="97" fillId="34" borderId="0" xfId="0" applyFont="1" applyFill="1" applyBorder="1" applyProtection="1"/>
    <xf numFmtId="0" fontId="98" fillId="34" borderId="0" xfId="34" applyFont="1" applyFill="1" applyBorder="1" applyAlignment="1" applyProtection="1">
      <alignment horizontal="left"/>
    </xf>
    <xf numFmtId="0" fontId="98" fillId="34" borderId="0" xfId="0" applyFont="1" applyFill="1" applyBorder="1" applyProtection="1"/>
    <xf numFmtId="0" fontId="98" fillId="34" borderId="0" xfId="34" applyFont="1" applyFill="1" applyBorder="1" applyAlignment="1" applyProtection="1"/>
    <xf numFmtId="0" fontId="93" fillId="34" borderId="0" xfId="0" applyFont="1" applyFill="1" applyBorder="1" applyAlignment="1" applyProtection="1">
      <alignment vertical="center" wrapText="1"/>
    </xf>
    <xf numFmtId="0" fontId="99" fillId="34" borderId="0" xfId="0" applyFont="1" applyFill="1" applyBorder="1" applyProtection="1"/>
    <xf numFmtId="0" fontId="83" fillId="34" borderId="0" xfId="0" applyFont="1" applyFill="1" applyBorder="1"/>
    <xf numFmtId="0" fontId="124" fillId="34" borderId="0" xfId="0" applyFont="1" applyFill="1"/>
    <xf numFmtId="0" fontId="124" fillId="34" borderId="0" xfId="0" applyFont="1" applyFill="1" applyAlignment="1">
      <alignment horizontal="center" vertical="center" wrapText="1"/>
    </xf>
    <xf numFmtId="14" fontId="72" fillId="0" borderId="32" xfId="0" applyNumberFormat="1" applyFont="1" applyFill="1" applyBorder="1" applyAlignment="1">
      <alignment horizontal="center"/>
    </xf>
    <xf numFmtId="0" fontId="125" fillId="0" borderId="32" xfId="0" applyFont="1" applyFill="1" applyBorder="1" applyAlignment="1">
      <alignment horizontal="center" vertical="center"/>
    </xf>
    <xf numFmtId="0" fontId="119" fillId="34" borderId="0" xfId="34" applyFont="1" applyFill="1" applyBorder="1" applyAlignment="1" applyProtection="1"/>
    <xf numFmtId="164" fontId="0" fillId="0" borderId="10" xfId="0" applyNumberFormat="1" applyFill="1" applyBorder="1"/>
    <xf numFmtId="164" fontId="113" fillId="0" borderId="11" xfId="0" applyNumberFormat="1" applyFont="1" applyFill="1" applyBorder="1"/>
    <xf numFmtId="0" fontId="60" fillId="29" borderId="10" xfId="0" applyFont="1" applyFill="1" applyBorder="1"/>
    <xf numFmtId="0" fontId="0" fillId="29" borderId="10" xfId="0" applyFill="1" applyBorder="1" applyAlignment="1">
      <alignment horizontal="left" vertical="center" wrapText="1" indent="2"/>
    </xf>
    <xf numFmtId="0" fontId="0" fillId="0" borderId="0" xfId="0" applyFill="1" applyAlignment="1">
      <alignment horizontal="left" vertical="center"/>
    </xf>
    <xf numFmtId="0" fontId="100" fillId="32" borderId="10" xfId="0" applyFont="1" applyFill="1" applyBorder="1" applyAlignment="1">
      <alignment horizontal="center"/>
    </xf>
    <xf numFmtId="2" fontId="100" fillId="32" borderId="10" xfId="0" applyNumberFormat="1" applyFont="1" applyFill="1" applyBorder="1" applyAlignment="1">
      <alignment horizontal="center"/>
    </xf>
    <xf numFmtId="0" fontId="100" fillId="0" borderId="10" xfId="0" applyFont="1" applyFill="1" applyBorder="1" applyAlignment="1">
      <alignment wrapText="1"/>
    </xf>
    <xf numFmtId="1" fontId="0" fillId="0" borderId="10" xfId="0" applyNumberFormat="1" applyFill="1" applyBorder="1"/>
    <xf numFmtId="167" fontId="0" fillId="0" borderId="10" xfId="0" applyNumberFormat="1" applyFill="1" applyBorder="1"/>
    <xf numFmtId="0" fontId="72" fillId="24" borderId="10" xfId="40" applyFont="1" applyFill="1" applyBorder="1" applyAlignment="1" applyProtection="1">
      <alignment wrapText="1"/>
    </xf>
    <xf numFmtId="0" fontId="126" fillId="34" borderId="0" xfId="0" applyFont="1" applyFill="1"/>
    <xf numFmtId="164" fontId="0" fillId="0" borderId="0" xfId="0" applyNumberFormat="1" applyFill="1"/>
    <xf numFmtId="0" fontId="0" fillId="0" borderId="0" xfId="0" applyFill="1" applyBorder="1" applyAlignment="1">
      <alignment horizontal="left" vertical="center" wrapText="1" indent="2"/>
    </xf>
    <xf numFmtId="0" fontId="0" fillId="29" borderId="10" xfId="0" applyFill="1" applyBorder="1" applyAlignment="1">
      <alignment horizontal="left"/>
    </xf>
    <xf numFmtId="0" fontId="58" fillId="29" borderId="10" xfId="0" applyFont="1" applyFill="1" applyBorder="1"/>
    <xf numFmtId="164" fontId="0" fillId="29" borderId="10" xfId="0" applyNumberFormat="1" applyFont="1" applyFill="1" applyBorder="1" applyAlignment="1">
      <alignment horizontal="center" vertical="center" wrapText="1"/>
    </xf>
    <xf numFmtId="164" fontId="0" fillId="31" borderId="10" xfId="0" applyNumberFormat="1" applyFont="1" applyFill="1" applyBorder="1" applyAlignment="1">
      <alignment horizontal="center" vertical="center" wrapText="1"/>
    </xf>
    <xf numFmtId="164" fontId="0" fillId="30" borderId="10" xfId="0" applyNumberFormat="1" applyFont="1" applyFill="1" applyBorder="1" applyAlignment="1">
      <alignment horizontal="center" vertical="center" wrapText="1"/>
    </xf>
    <xf numFmtId="164" fontId="127" fillId="24" borderId="10" xfId="0" applyNumberFormat="1" applyFont="1" applyFill="1" applyBorder="1" applyAlignment="1">
      <alignment horizontal="right" vertical="top"/>
    </xf>
    <xf numFmtId="0" fontId="108" fillId="30" borderId="10" xfId="0" applyFont="1" applyFill="1" applyBorder="1"/>
    <xf numFmtId="0" fontId="127" fillId="24" borderId="10" xfId="0" applyFont="1" applyFill="1" applyBorder="1" applyAlignment="1">
      <alignment horizontal="right" vertical="top"/>
    </xf>
    <xf numFmtId="164" fontId="128" fillId="30" borderId="10" xfId="0" applyNumberFormat="1" applyFont="1" applyFill="1" applyBorder="1" applyAlignment="1">
      <alignment horizontal="right"/>
    </xf>
    <xf numFmtId="0" fontId="128" fillId="30" borderId="10" xfId="0" applyFont="1" applyFill="1" applyBorder="1" applyAlignment="1">
      <alignment horizontal="right" vertical="center"/>
    </xf>
    <xf numFmtId="0" fontId="129" fillId="30" borderId="10" xfId="0" applyFont="1" applyFill="1" applyBorder="1" applyAlignment="1">
      <alignment horizontal="justify" vertical="center"/>
    </xf>
    <xf numFmtId="0" fontId="108" fillId="24" borderId="10" xfId="0" applyFont="1" applyFill="1" applyBorder="1" applyAlignment="1">
      <alignment horizontal="center" vertical="center"/>
    </xf>
    <xf numFmtId="164" fontId="130" fillId="0" borderId="10" xfId="0" applyNumberFormat="1" applyFont="1" applyBorder="1" applyAlignment="1">
      <alignment horizontal="left"/>
    </xf>
    <xf numFmtId="0" fontId="131" fillId="24" borderId="15" xfId="0" applyFont="1" applyFill="1" applyBorder="1"/>
    <xf numFmtId="0" fontId="131" fillId="0" borderId="15" xfId="0" applyFont="1" applyFill="1" applyBorder="1" applyAlignment="1">
      <alignment horizontal="left"/>
    </xf>
    <xf numFmtId="164" fontId="130" fillId="0" borderId="10" xfId="0" applyNumberFormat="1" applyFont="1" applyFill="1" applyBorder="1" applyAlignment="1">
      <alignment horizontal="left"/>
    </xf>
    <xf numFmtId="0" fontId="129" fillId="24" borderId="10" xfId="0" applyFont="1" applyFill="1" applyBorder="1" applyAlignment="1">
      <alignment horizontal="justify" vertical="center"/>
    </xf>
    <xf numFmtId="0" fontId="128" fillId="24" borderId="10" xfId="0" applyFont="1" applyFill="1" applyBorder="1" applyAlignment="1">
      <alignment horizontal="right" vertical="center"/>
    </xf>
    <xf numFmtId="164" fontId="128" fillId="24" borderId="10" xfId="0" applyNumberFormat="1" applyFont="1" applyFill="1" applyBorder="1" applyAlignment="1">
      <alignment horizontal="right"/>
    </xf>
    <xf numFmtId="0" fontId="132" fillId="24" borderId="10" xfId="0" applyFont="1" applyFill="1" applyBorder="1" applyAlignment="1">
      <alignment horizontal="justify" vertical="center"/>
    </xf>
    <xf numFmtId="0" fontId="127" fillId="24" borderId="10" xfId="0" applyFont="1" applyFill="1" applyBorder="1" applyAlignment="1">
      <alignment horizontal="right" vertical="center"/>
    </xf>
    <xf numFmtId="164" fontId="127" fillId="24" borderId="10" xfId="0" applyNumberFormat="1" applyFont="1" applyFill="1" applyBorder="1" applyAlignment="1">
      <alignment horizontal="right"/>
    </xf>
    <xf numFmtId="0" fontId="133" fillId="24" borderId="10" xfId="0" applyFont="1" applyFill="1" applyBorder="1" applyAlignment="1">
      <alignment horizontal="justify" vertical="center"/>
    </xf>
    <xf numFmtId="164" fontId="128" fillId="24" borderId="10" xfId="0" applyNumberFormat="1" applyFont="1" applyFill="1" applyBorder="1" applyAlignment="1">
      <alignment horizontal="right" vertical="center"/>
    </xf>
    <xf numFmtId="0" fontId="131" fillId="24" borderId="10" xfId="0" applyFont="1" applyFill="1" applyBorder="1"/>
    <xf numFmtId="0" fontId="131" fillId="0" borderId="10" xfId="0" applyFont="1" applyFill="1" applyBorder="1" applyAlignment="1">
      <alignment horizontal="left"/>
    </xf>
    <xf numFmtId="0" fontId="108" fillId="24" borderId="10" xfId="0" applyFont="1" applyFill="1" applyBorder="1" applyAlignment="1">
      <alignment horizontal="center"/>
    </xf>
    <xf numFmtId="164" fontId="134" fillId="24" borderId="10" xfId="0" applyNumberFormat="1" applyFont="1" applyFill="1" applyBorder="1"/>
    <xf numFmtId="0" fontId="108" fillId="33" borderId="10" xfId="0" applyFont="1" applyFill="1" applyBorder="1" applyAlignment="1">
      <alignment horizontal="center"/>
    </xf>
    <xf numFmtId="0" fontId="100" fillId="0" borderId="10" xfId="0" applyFont="1" applyFill="1" applyBorder="1" applyAlignment="1">
      <alignment horizontal="right" wrapText="1"/>
    </xf>
    <xf numFmtId="0" fontId="0" fillId="0" borderId="0" xfId="0" applyAlignment="1">
      <alignment horizontal="left" vertical="center"/>
    </xf>
    <xf numFmtId="164" fontId="2" fillId="27" borderId="10" xfId="0" applyNumberFormat="1" applyFont="1" applyFill="1" applyBorder="1" applyAlignment="1">
      <alignment horizontal="center" vertical="center" wrapText="1"/>
    </xf>
    <xf numFmtId="164" fontId="2" fillId="28" borderId="10" xfId="0" applyNumberFormat="1" applyFont="1" applyFill="1" applyBorder="1" applyAlignment="1">
      <alignment horizontal="center" vertical="center" wrapText="1"/>
    </xf>
    <xf numFmtId="0" fontId="108" fillId="37" borderId="10" xfId="0" applyFont="1" applyFill="1" applyBorder="1" applyAlignment="1">
      <alignment horizontal="center"/>
    </xf>
    <xf numFmtId="164" fontId="134" fillId="0" borderId="10" xfId="0" applyNumberFormat="1" applyFont="1" applyFill="1" applyBorder="1"/>
    <xf numFmtId="164" fontId="135" fillId="0" borderId="10" xfId="0" applyNumberFormat="1" applyFont="1" applyFill="1" applyBorder="1"/>
    <xf numFmtId="0" fontId="107" fillId="0" borderId="10" xfId="0" applyFont="1" applyBorder="1"/>
    <xf numFmtId="167" fontId="107" fillId="0" borderId="10" xfId="0" applyNumberFormat="1" applyFont="1" applyFill="1" applyBorder="1"/>
    <xf numFmtId="164" fontId="107" fillId="0" borderId="10" xfId="0" applyNumberFormat="1" applyFont="1" applyFill="1" applyBorder="1"/>
    <xf numFmtId="0" fontId="136" fillId="0" borderId="0" xfId="0" applyFont="1"/>
    <xf numFmtId="0" fontId="13" fillId="0" borderId="10" xfId="0" applyFont="1" applyFill="1" applyBorder="1" applyAlignment="1">
      <alignment horizontal="center" vertical="center"/>
    </xf>
    <xf numFmtId="0" fontId="20" fillId="29" borderId="10" xfId="0" applyFont="1" applyFill="1" applyBorder="1"/>
    <xf numFmtId="1" fontId="110" fillId="38" borderId="0" xfId="0" applyNumberFormat="1" applyFont="1" applyFill="1" applyProtection="1"/>
    <xf numFmtId="0" fontId="72" fillId="34" borderId="0" xfId="0" applyFont="1" applyFill="1" applyBorder="1" applyAlignment="1" applyProtection="1">
      <alignment horizontal="center" vertical="center" wrapText="1"/>
    </xf>
    <xf numFmtId="0" fontId="110" fillId="38" borderId="22" xfId="0" applyFont="1" applyFill="1" applyBorder="1" applyProtection="1"/>
    <xf numFmtId="0" fontId="110" fillId="34" borderId="0" xfId="0" applyFont="1" applyFill="1" applyAlignment="1" applyProtection="1"/>
    <xf numFmtId="0" fontId="109" fillId="43" borderId="24" xfId="0" applyFont="1" applyFill="1" applyBorder="1" applyAlignment="1" applyProtection="1">
      <alignment horizontal="left" vertical="center"/>
    </xf>
    <xf numFmtId="0" fontId="137" fillId="0" borderId="20" xfId="0" applyFont="1" applyFill="1" applyBorder="1" applyProtection="1">
      <protection locked="0"/>
    </xf>
    <xf numFmtId="0" fontId="137" fillId="0" borderId="1" xfId="0" applyFont="1" applyFill="1" applyBorder="1" applyProtection="1">
      <protection locked="0"/>
    </xf>
    <xf numFmtId="1" fontId="112" fillId="0" borderId="20" xfId="0" applyNumberFormat="1" applyFont="1" applyFill="1" applyBorder="1" applyProtection="1">
      <protection locked="0"/>
    </xf>
    <xf numFmtId="3" fontId="112" fillId="0" borderId="20" xfId="0" applyNumberFormat="1" applyFont="1" applyFill="1" applyBorder="1" applyProtection="1">
      <protection locked="0"/>
    </xf>
    <xf numFmtId="3" fontId="112" fillId="0" borderId="1" xfId="0" applyNumberFormat="1" applyFont="1" applyFill="1" applyBorder="1" applyProtection="1">
      <protection locked="0"/>
    </xf>
    <xf numFmtId="0" fontId="112" fillId="0" borderId="20" xfId="0" applyFont="1" applyFill="1" applyBorder="1" applyProtection="1">
      <protection locked="0"/>
    </xf>
    <xf numFmtId="4" fontId="112" fillId="0" borderId="20" xfId="0" applyNumberFormat="1" applyFont="1" applyFill="1" applyBorder="1" applyProtection="1">
      <protection locked="0"/>
    </xf>
    <xf numFmtId="4" fontId="112" fillId="0" borderId="1" xfId="0" applyNumberFormat="1" applyFont="1" applyFill="1" applyBorder="1" applyProtection="1">
      <protection locked="0"/>
    </xf>
    <xf numFmtId="0" fontId="110" fillId="34" borderId="0" xfId="0" applyNumberFormat="1" applyFont="1" applyFill="1" applyProtection="1"/>
    <xf numFmtId="0" fontId="72" fillId="34" borderId="0" xfId="0" applyNumberFormat="1" applyFont="1" applyFill="1" applyProtection="1"/>
    <xf numFmtId="0" fontId="111" fillId="43" borderId="33" xfId="0" applyFont="1" applyFill="1" applyBorder="1" applyAlignment="1">
      <alignment horizontal="center" vertical="center" wrapText="1"/>
    </xf>
    <xf numFmtId="4" fontId="112" fillId="0" borderId="1" xfId="0" applyNumberFormat="1" applyFont="1" applyFill="1" applyBorder="1" applyAlignment="1">
      <alignment horizontal="right"/>
    </xf>
    <xf numFmtId="0" fontId="117" fillId="34" borderId="0" xfId="0" applyFont="1" applyFill="1" applyBorder="1" applyAlignment="1">
      <alignment horizontal="left"/>
    </xf>
    <xf numFmtId="0" fontId="117" fillId="34" borderId="0" xfId="0" applyFont="1" applyFill="1" applyBorder="1" applyAlignment="1">
      <alignment horizontal="right"/>
    </xf>
    <xf numFmtId="0" fontId="122" fillId="34" borderId="0" xfId="0" applyFont="1" applyFill="1" applyAlignment="1"/>
    <xf numFmtId="2" fontId="110" fillId="0" borderId="10" xfId="0" applyNumberFormat="1" applyFont="1" applyFill="1" applyBorder="1"/>
    <xf numFmtId="0" fontId="102" fillId="34" borderId="27" xfId="0" applyFont="1" applyFill="1" applyBorder="1" applyAlignment="1" applyProtection="1">
      <alignment horizontal="right" vertical="center" wrapText="1"/>
    </xf>
    <xf numFmtId="0" fontId="102" fillId="34" borderId="28" xfId="0" applyFont="1" applyFill="1" applyBorder="1" applyAlignment="1" applyProtection="1">
      <alignment horizontal="right" vertical="center" wrapText="1"/>
    </xf>
    <xf numFmtId="0" fontId="112" fillId="34" borderId="28" xfId="0" applyFont="1" applyFill="1" applyBorder="1"/>
    <xf numFmtId="0" fontId="112" fillId="34" borderId="34" xfId="0" applyFont="1" applyFill="1" applyBorder="1"/>
    <xf numFmtId="0" fontId="72" fillId="34" borderId="34" xfId="0" applyFont="1" applyFill="1" applyBorder="1" applyAlignment="1" applyProtection="1">
      <alignment vertical="center" wrapText="1"/>
    </xf>
    <xf numFmtId="0" fontId="110" fillId="0" borderId="0" xfId="0" applyFont="1" applyFill="1" applyBorder="1" applyAlignment="1"/>
    <xf numFmtId="2" fontId="112" fillId="0" borderId="35" xfId="0" applyNumberFormat="1" applyFont="1" applyFill="1" applyBorder="1"/>
    <xf numFmtId="166" fontId="112" fillId="0" borderId="20" xfId="0" applyNumberFormat="1" applyFont="1" applyFill="1" applyBorder="1"/>
    <xf numFmtId="0" fontId="78" fillId="43" borderId="18" xfId="0" applyFont="1" applyFill="1" applyBorder="1" applyAlignment="1" applyProtection="1">
      <alignment horizontal="center" vertical="center"/>
    </xf>
    <xf numFmtId="164" fontId="89" fillId="24" borderId="22" xfId="0" applyNumberFormat="1" applyFont="1" applyFill="1" applyBorder="1" applyAlignment="1">
      <alignment horizontal="center" vertical="center" wrapText="1"/>
    </xf>
    <xf numFmtId="164" fontId="89" fillId="24" borderId="1" xfId="0" applyNumberFormat="1" applyFont="1" applyFill="1" applyBorder="1" applyAlignment="1">
      <alignment horizontal="center" vertical="center" wrapText="1"/>
    </xf>
    <xf numFmtId="164" fontId="89" fillId="24" borderId="36" xfId="0" applyNumberFormat="1" applyFont="1" applyFill="1" applyBorder="1" applyAlignment="1">
      <alignment horizontal="center" vertical="center" wrapText="1"/>
    </xf>
    <xf numFmtId="164" fontId="48" fillId="30" borderId="10" xfId="0" applyNumberFormat="1" applyFont="1" applyFill="1" applyBorder="1"/>
    <xf numFmtId="164" fontId="48" fillId="28" borderId="10" xfId="0" applyNumberFormat="1" applyFont="1" applyFill="1" applyBorder="1"/>
    <xf numFmtId="164" fontId="72" fillId="24" borderId="10" xfId="40" applyNumberFormat="1" applyFont="1" applyFill="1" applyBorder="1" applyAlignment="1" applyProtection="1">
      <alignment wrapText="1"/>
    </xf>
    <xf numFmtId="0" fontId="153" fillId="34" borderId="0" xfId="0" applyFont="1" applyFill="1" applyAlignment="1">
      <alignment horizontal="right"/>
    </xf>
    <xf numFmtId="0" fontId="83" fillId="34" borderId="0" xfId="0" applyFont="1" applyFill="1" applyProtection="1"/>
    <xf numFmtId="0" fontId="154" fillId="34" borderId="0" xfId="0" applyFont="1" applyFill="1" applyAlignment="1" applyProtection="1">
      <alignment vertical="center"/>
    </xf>
    <xf numFmtId="0" fontId="155" fillId="34" borderId="0" xfId="0" applyFont="1" applyFill="1" applyAlignment="1" applyProtection="1">
      <alignment vertical="center"/>
    </xf>
    <xf numFmtId="0" fontId="154" fillId="34" borderId="0" xfId="0" applyFont="1" applyFill="1" applyProtection="1"/>
    <xf numFmtId="0" fontId="155" fillId="34" borderId="0" xfId="0" applyFont="1" applyFill="1" applyProtection="1"/>
    <xf numFmtId="0" fontId="156" fillId="34" borderId="0" xfId="0" applyFont="1" applyFill="1" applyBorder="1" applyProtection="1"/>
    <xf numFmtId="0" fontId="156" fillId="34" borderId="0" xfId="0" applyFont="1" applyFill="1" applyBorder="1" applyAlignment="1" applyProtection="1">
      <alignment vertical="center" wrapText="1"/>
    </xf>
    <xf numFmtId="0" fontId="157" fillId="34" borderId="0" xfId="0" applyFont="1" applyFill="1" applyBorder="1" applyAlignment="1">
      <alignment horizontal="left"/>
    </xf>
    <xf numFmtId="0" fontId="78" fillId="43" borderId="0" xfId="0" applyFont="1" applyFill="1" applyProtection="1"/>
    <xf numFmtId="0" fontId="83" fillId="0" borderId="16" xfId="0" applyFont="1" applyFill="1" applyBorder="1" applyProtection="1"/>
    <xf numFmtId="165" fontId="83" fillId="0" borderId="26" xfId="0" applyNumberFormat="1" applyFont="1" applyFill="1" applyBorder="1" applyProtection="1"/>
    <xf numFmtId="0" fontId="88" fillId="43" borderId="37" xfId="0" applyFont="1" applyFill="1" applyBorder="1" applyAlignment="1" applyProtection="1">
      <alignment horizontal="center" vertical="center" wrapText="1"/>
    </xf>
    <xf numFmtId="0" fontId="88" fillId="43" borderId="0" xfId="0" applyFont="1" applyFill="1" applyBorder="1" applyAlignment="1" applyProtection="1">
      <alignment horizontal="center" vertical="center" wrapText="1"/>
    </xf>
    <xf numFmtId="1" fontId="83" fillId="38" borderId="10" xfId="0" applyNumberFormat="1" applyFont="1" applyFill="1" applyBorder="1" applyAlignment="1" applyProtection="1">
      <alignment horizontal="center" vertical="center"/>
    </xf>
    <xf numFmtId="0" fontId="83" fillId="34" borderId="10" xfId="0" applyFont="1" applyFill="1" applyBorder="1" applyProtection="1"/>
    <xf numFmtId="0" fontId="88" fillId="43" borderId="30" xfId="0" applyFont="1" applyFill="1" applyBorder="1" applyAlignment="1" applyProtection="1">
      <alignment horizontal="center" vertical="center"/>
    </xf>
    <xf numFmtId="0" fontId="88" fillId="43" borderId="38" xfId="0" applyFont="1" applyFill="1" applyBorder="1" applyAlignment="1" applyProtection="1">
      <alignment horizontal="center" vertical="center"/>
    </xf>
    <xf numFmtId="4" fontId="83" fillId="0" borderId="1" xfId="0" applyNumberFormat="1" applyFont="1" applyFill="1" applyBorder="1" applyProtection="1"/>
    <xf numFmtId="0" fontId="83" fillId="34" borderId="0" xfId="0" applyFont="1" applyFill="1" applyAlignment="1" applyProtection="1">
      <alignment vertical="center"/>
    </xf>
    <xf numFmtId="2" fontId="83" fillId="0" borderId="26" xfId="0" applyNumberFormat="1" applyFont="1" applyFill="1" applyBorder="1" applyProtection="1"/>
    <xf numFmtId="0" fontId="123" fillId="34" borderId="0" xfId="0" applyFont="1" applyFill="1"/>
    <xf numFmtId="1" fontId="0" fillId="0" borderId="0" xfId="0" applyNumberFormat="1"/>
    <xf numFmtId="0" fontId="78" fillId="43" borderId="39" xfId="0" applyFont="1" applyFill="1" applyBorder="1" applyAlignment="1" applyProtection="1">
      <alignment horizontal="center" vertical="center" wrapText="1"/>
    </xf>
    <xf numFmtId="0" fontId="110" fillId="45" borderId="10" xfId="0" applyFont="1" applyFill="1" applyBorder="1"/>
    <xf numFmtId="0" fontId="110" fillId="0" borderId="26" xfId="0" applyFont="1" applyFill="1" applyBorder="1" applyProtection="1">
      <protection locked="0"/>
    </xf>
    <xf numFmtId="0" fontId="83" fillId="34" borderId="0" xfId="0" applyFont="1" applyFill="1"/>
    <xf numFmtId="3" fontId="83" fillId="34" borderId="0" xfId="0" applyNumberFormat="1" applyFont="1" applyFill="1" applyProtection="1"/>
    <xf numFmtId="3" fontId="83" fillId="0" borderId="1" xfId="0" applyNumberFormat="1" applyFont="1" applyFill="1" applyBorder="1" applyAlignment="1" applyProtection="1">
      <alignment vertical="center"/>
    </xf>
    <xf numFmtId="3" fontId="83" fillId="34" borderId="0" xfId="0" applyNumberFormat="1" applyFont="1" applyFill="1" applyBorder="1" applyAlignment="1" applyProtection="1">
      <alignment horizontal="right" vertical="center"/>
    </xf>
    <xf numFmtId="3" fontId="83" fillId="46" borderId="0" xfId="0" applyNumberFormat="1" applyFont="1" applyFill="1" applyBorder="1" applyAlignment="1" applyProtection="1">
      <alignment vertical="center"/>
    </xf>
    <xf numFmtId="3" fontId="112" fillId="0" borderId="20" xfId="0" applyNumberFormat="1" applyFont="1" applyFill="1" applyBorder="1"/>
    <xf numFmtId="1" fontId="123" fillId="34" borderId="0" xfId="0" applyNumberFormat="1" applyFont="1" applyFill="1" applyBorder="1" applyAlignment="1" applyProtection="1">
      <alignment horizontal="center"/>
    </xf>
    <xf numFmtId="1" fontId="123" fillId="34" borderId="40" xfId="0" applyNumberFormat="1" applyFont="1" applyFill="1" applyBorder="1" applyAlignment="1" applyProtection="1">
      <alignment horizontal="center"/>
    </xf>
    <xf numFmtId="0" fontId="88" fillId="43" borderId="41" xfId="0" applyFont="1" applyFill="1" applyBorder="1" applyAlignment="1" applyProtection="1">
      <alignment horizontal="center" vertical="center"/>
    </xf>
    <xf numFmtId="0" fontId="123" fillId="0" borderId="20" xfId="0" applyFont="1" applyFill="1" applyBorder="1" applyAlignment="1" applyProtection="1">
      <alignment horizontal="center"/>
    </xf>
    <xf numFmtId="4" fontId="112" fillId="0" borderId="20" xfId="0" applyNumberFormat="1" applyFont="1" applyFill="1" applyBorder="1"/>
    <xf numFmtId="4" fontId="83" fillId="45" borderId="10" xfId="0" applyNumberFormat="1" applyFont="1" applyFill="1" applyBorder="1" applyProtection="1"/>
    <xf numFmtId="3" fontId="97" fillId="0" borderId="1" xfId="0" applyNumberFormat="1" applyFont="1" applyFill="1" applyBorder="1" applyAlignment="1" applyProtection="1">
      <alignment vertical="center"/>
    </xf>
    <xf numFmtId="0" fontId="147" fillId="34" borderId="78" xfId="0" applyFont="1" applyFill="1" applyBorder="1" applyAlignment="1" applyProtection="1">
      <alignment horizontal="right" vertical="center"/>
    </xf>
    <xf numFmtId="0" fontId="147" fillId="34" borderId="79" xfId="0" applyFont="1" applyFill="1" applyBorder="1" applyAlignment="1" applyProtection="1">
      <alignment horizontal="right" vertical="top"/>
    </xf>
    <xf numFmtId="0" fontId="157" fillId="34" borderId="0" xfId="0" applyFont="1" applyFill="1" applyProtection="1"/>
    <xf numFmtId="4" fontId="112" fillId="0" borderId="39" xfId="0" applyNumberFormat="1" applyFont="1" applyFill="1" applyBorder="1" applyProtection="1"/>
    <xf numFmtId="1" fontId="82" fillId="43" borderId="38" xfId="0" applyNumberFormat="1" applyFont="1" applyFill="1" applyBorder="1" applyAlignment="1" applyProtection="1">
      <alignment horizontal="center" vertical="center"/>
    </xf>
    <xf numFmtId="3" fontId="158" fillId="47" borderId="80" xfId="0" applyNumberFormat="1" applyFont="1" applyFill="1" applyBorder="1" applyAlignment="1" applyProtection="1">
      <alignment vertical="center"/>
    </xf>
    <xf numFmtId="3" fontId="159" fillId="46" borderId="0" xfId="0" applyNumberFormat="1" applyFont="1" applyFill="1" applyBorder="1" applyAlignment="1" applyProtection="1">
      <alignment vertical="center"/>
    </xf>
    <xf numFmtId="0" fontId="160" fillId="47" borderId="81" xfId="0" applyFont="1" applyFill="1" applyBorder="1" applyAlignment="1" applyProtection="1">
      <alignment horizontal="center" vertical="center"/>
    </xf>
    <xf numFmtId="0" fontId="155" fillId="48" borderId="82" xfId="0" applyFont="1" applyFill="1" applyBorder="1" applyAlignment="1">
      <alignment horizontal="left"/>
    </xf>
    <xf numFmtId="0" fontId="110" fillId="48" borderId="78" xfId="0" applyFont="1" applyFill="1" applyBorder="1" applyProtection="1"/>
    <xf numFmtId="0" fontId="110" fillId="48" borderId="0" xfId="0" applyFont="1" applyFill="1" applyBorder="1" applyProtection="1"/>
    <xf numFmtId="0" fontId="110" fillId="48" borderId="79" xfId="0" applyFont="1" applyFill="1" applyBorder="1" applyProtection="1"/>
    <xf numFmtId="0" fontId="110" fillId="48" borderId="83" xfId="0" applyFont="1" applyFill="1" applyBorder="1" applyProtection="1"/>
    <xf numFmtId="0" fontId="110" fillId="48" borderId="84" xfId="0" applyFont="1" applyFill="1" applyBorder="1" applyProtection="1"/>
    <xf numFmtId="0" fontId="110" fillId="48" borderId="77" xfId="0" applyFont="1" applyFill="1" applyBorder="1" applyProtection="1"/>
    <xf numFmtId="0" fontId="110" fillId="48" borderId="85" xfId="0" applyFont="1" applyFill="1" applyBorder="1" applyAlignment="1" applyProtection="1">
      <alignment horizontal="center"/>
    </xf>
    <xf numFmtId="0" fontId="161" fillId="48" borderId="0" xfId="0" applyFont="1" applyFill="1" applyBorder="1" applyAlignment="1" applyProtection="1">
      <alignment horizontal="center"/>
    </xf>
    <xf numFmtId="0" fontId="154" fillId="48" borderId="0" xfId="0" applyFont="1" applyFill="1" applyBorder="1" applyProtection="1"/>
    <xf numFmtId="165" fontId="110" fillId="48" borderId="0" xfId="0" applyNumberFormat="1" applyFont="1" applyFill="1" applyBorder="1" applyProtection="1"/>
    <xf numFmtId="4" fontId="110" fillId="48" borderId="0" xfId="0" applyNumberFormat="1" applyFont="1" applyFill="1" applyBorder="1" applyProtection="1"/>
    <xf numFmtId="4" fontId="110" fillId="48" borderId="0" xfId="0" applyNumberFormat="1" applyFont="1" applyFill="1" applyBorder="1" applyAlignment="1" applyProtection="1">
      <alignment horizontal="right"/>
    </xf>
    <xf numFmtId="0" fontId="109" fillId="48" borderId="86" xfId="0" applyFont="1" applyFill="1" applyBorder="1" applyAlignment="1" applyProtection="1">
      <alignment horizontal="center" vertical="center" wrapText="1"/>
    </xf>
    <xf numFmtId="0" fontId="109" fillId="48" borderId="87" xfId="0" applyFont="1" applyFill="1" applyBorder="1" applyAlignment="1" applyProtection="1">
      <alignment horizontal="center" vertical="center" wrapText="1"/>
    </xf>
    <xf numFmtId="0" fontId="72" fillId="48" borderId="87" xfId="0" applyFont="1" applyFill="1" applyBorder="1" applyAlignment="1" applyProtection="1">
      <alignment horizontal="center" vertical="center" wrapText="1"/>
    </xf>
    <xf numFmtId="0" fontId="110" fillId="48" borderId="87" xfId="0" applyFont="1" applyFill="1" applyBorder="1" applyProtection="1"/>
    <xf numFmtId="0" fontId="109" fillId="48" borderId="87" xfId="0" applyFont="1" applyFill="1" applyBorder="1" applyAlignment="1" applyProtection="1">
      <alignment vertical="center" wrapText="1"/>
    </xf>
    <xf numFmtId="0" fontId="110" fillId="48" borderId="87" xfId="0" applyFont="1" applyFill="1" applyBorder="1" applyAlignment="1" applyProtection="1">
      <alignment horizontal="center"/>
    </xf>
    <xf numFmtId="0" fontId="161" fillId="48" borderId="0" xfId="0" applyFont="1" applyFill="1" applyBorder="1" applyProtection="1"/>
    <xf numFmtId="0" fontId="110" fillId="48" borderId="47" xfId="0" applyFont="1" applyFill="1" applyBorder="1" applyProtection="1"/>
    <xf numFmtId="0" fontId="110" fillId="48" borderId="48" xfId="0" applyFont="1" applyFill="1" applyBorder="1" applyProtection="1"/>
    <xf numFmtId="0" fontId="110" fillId="48" borderId="49" xfId="0" applyFont="1" applyFill="1" applyBorder="1" applyProtection="1"/>
    <xf numFmtId="0" fontId="110" fillId="48" borderId="50" xfId="0" applyFont="1" applyFill="1" applyBorder="1" applyProtection="1"/>
    <xf numFmtId="0" fontId="110" fillId="48" borderId="51" xfId="0" applyFont="1" applyFill="1" applyBorder="1" applyProtection="1"/>
    <xf numFmtId="0" fontId="110" fillId="48" borderId="52" xfId="0" applyFont="1" applyFill="1" applyBorder="1" applyProtection="1"/>
    <xf numFmtId="0" fontId="110" fillId="48" borderId="53" xfId="0" applyFont="1" applyFill="1" applyBorder="1" applyProtection="1"/>
    <xf numFmtId="0" fontId="110" fillId="48" borderId="54" xfId="0" applyFont="1" applyFill="1" applyBorder="1" applyProtection="1"/>
    <xf numFmtId="0" fontId="109" fillId="48" borderId="54" xfId="0" applyFont="1" applyFill="1" applyBorder="1" applyAlignment="1" applyProtection="1">
      <alignment horizontal="left" vertical="center" wrapText="1"/>
    </xf>
    <xf numFmtId="1" fontId="123" fillId="38" borderId="1" xfId="0" applyNumberFormat="1" applyFont="1" applyFill="1" applyBorder="1" applyAlignment="1" applyProtection="1">
      <alignment horizontal="center"/>
    </xf>
    <xf numFmtId="1" fontId="110" fillId="34" borderId="0" xfId="0" applyNumberFormat="1" applyFont="1" applyFill="1" applyProtection="1"/>
    <xf numFmtId="0" fontId="155" fillId="48" borderId="82" xfId="0" applyFont="1" applyFill="1" applyBorder="1" applyAlignment="1">
      <alignment horizontal="left" vertical="center"/>
    </xf>
    <xf numFmtId="0" fontId="155" fillId="48" borderId="88" xfId="0" applyFont="1" applyFill="1" applyBorder="1" applyAlignment="1">
      <alignment horizontal="right" vertical="center"/>
    </xf>
    <xf numFmtId="0" fontId="155" fillId="48" borderId="89" xfId="0" applyFont="1" applyFill="1" applyBorder="1" applyAlignment="1">
      <alignment horizontal="center" vertical="center"/>
    </xf>
    <xf numFmtId="0" fontId="159" fillId="34" borderId="0" xfId="0" applyFont="1" applyFill="1" applyBorder="1" applyProtection="1"/>
    <xf numFmtId="0" fontId="162" fillId="34" borderId="0" xfId="0" applyFont="1" applyFill="1" applyBorder="1" applyProtection="1"/>
    <xf numFmtId="0" fontId="163" fillId="34" borderId="0" xfId="0" applyFont="1" applyFill="1" applyBorder="1" applyAlignment="1" applyProtection="1">
      <alignment horizontal="right"/>
    </xf>
    <xf numFmtId="0" fontId="112" fillId="34" borderId="0" xfId="0" applyFont="1" applyFill="1" applyProtection="1"/>
    <xf numFmtId="0" fontId="112" fillId="34" borderId="0" xfId="0" applyFont="1" applyFill="1" applyAlignment="1" applyProtection="1">
      <alignment horizontal="right"/>
    </xf>
    <xf numFmtId="0" fontId="159" fillId="34" borderId="0" xfId="0" applyFont="1" applyFill="1" applyBorder="1" applyAlignment="1" applyProtection="1">
      <alignment horizontal="center" vertical="center"/>
    </xf>
    <xf numFmtId="0" fontId="159" fillId="34" borderId="0" xfId="0" applyFont="1" applyFill="1" applyBorder="1" applyAlignment="1" applyProtection="1">
      <alignment vertical="center"/>
    </xf>
    <xf numFmtId="0" fontId="157" fillId="34" borderId="0" xfId="0" applyFont="1" applyFill="1" applyAlignment="1" applyProtection="1">
      <alignment horizontal="left" vertical="center"/>
    </xf>
    <xf numFmtId="0" fontId="162" fillId="34" borderId="0" xfId="0" applyFont="1" applyFill="1" applyAlignment="1" applyProtection="1">
      <alignment vertical="center"/>
    </xf>
    <xf numFmtId="0" fontId="0" fillId="50" borderId="0" xfId="0" applyFill="1" applyAlignment="1" applyProtection="1">
      <alignment vertical="center" wrapText="1"/>
    </xf>
    <xf numFmtId="4" fontId="110" fillId="38" borderId="26" xfId="0" applyNumberFormat="1" applyFont="1" applyFill="1" applyBorder="1" applyProtection="1"/>
    <xf numFmtId="4" fontId="110" fillId="38" borderId="26" xfId="0" applyNumberFormat="1" applyFont="1" applyFill="1" applyBorder="1" applyAlignment="1" applyProtection="1">
      <alignment horizontal="right"/>
    </xf>
    <xf numFmtId="1" fontId="110" fillId="38" borderId="1" xfId="0" applyNumberFormat="1" applyFont="1" applyFill="1" applyBorder="1" applyAlignment="1" applyProtection="1">
      <alignment horizontal="center"/>
    </xf>
    <xf numFmtId="0" fontId="159" fillId="34" borderId="0" xfId="0" applyFont="1" applyFill="1" applyBorder="1" applyAlignment="1" applyProtection="1">
      <alignment horizontal="center"/>
    </xf>
    <xf numFmtId="0" fontId="0" fillId="51" borderId="0" xfId="0" applyFill="1"/>
    <xf numFmtId="0" fontId="72" fillId="34" borderId="0" xfId="0" applyFont="1" applyFill="1"/>
    <xf numFmtId="0" fontId="167" fillId="34" borderId="0" xfId="0" applyFont="1" applyFill="1" applyBorder="1"/>
    <xf numFmtId="0" fontId="162" fillId="34" borderId="0" xfId="0" applyFont="1" applyFill="1" applyBorder="1"/>
    <xf numFmtId="2" fontId="168" fillId="34" borderId="0" xfId="0" applyNumberFormat="1" applyFont="1" applyFill="1" applyBorder="1"/>
    <xf numFmtId="0" fontId="162" fillId="34" borderId="0" xfId="0" applyFont="1" applyFill="1"/>
    <xf numFmtId="0" fontId="162" fillId="34" borderId="0" xfId="0" applyFont="1" applyFill="1" applyAlignment="1"/>
    <xf numFmtId="0" fontId="103" fillId="43" borderId="18" xfId="0" applyFont="1" applyFill="1" applyBorder="1" applyAlignment="1">
      <alignment horizontal="center" vertical="center" wrapText="1"/>
    </xf>
    <xf numFmtId="0" fontId="110" fillId="48" borderId="0" xfId="0" applyFont="1" applyFill="1" applyBorder="1" applyAlignment="1" applyProtection="1">
      <alignment vertical="center"/>
    </xf>
    <xf numFmtId="0" fontId="161" fillId="48" borderId="0" xfId="0" applyFont="1" applyFill="1" applyBorder="1" applyAlignment="1" applyProtection="1">
      <alignment horizontal="right" vertical="center"/>
    </xf>
    <xf numFmtId="4" fontId="83" fillId="38" borderId="26" xfId="0" applyNumberFormat="1" applyFont="1" applyFill="1" applyBorder="1" applyAlignment="1" applyProtection="1">
      <alignment horizontal="right" vertical="center"/>
    </xf>
    <xf numFmtId="0" fontId="83" fillId="38" borderId="22" xfId="0" applyFont="1" applyFill="1" applyBorder="1" applyAlignment="1" applyProtection="1">
      <alignment vertical="center"/>
    </xf>
    <xf numFmtId="0" fontId="112" fillId="34" borderId="0" xfId="0" applyFont="1" applyFill="1" applyBorder="1" applyProtection="1"/>
    <xf numFmtId="0" fontId="112" fillId="34" borderId="0" xfId="0" applyFont="1" applyFill="1" applyBorder="1" applyAlignment="1" applyProtection="1"/>
    <xf numFmtId="0" fontId="112" fillId="34" borderId="77" xfId="0" applyFont="1" applyFill="1" applyBorder="1" applyProtection="1"/>
    <xf numFmtId="1" fontId="78" fillId="34" borderId="0" xfId="0" applyNumberFormat="1" applyFont="1" applyFill="1" applyBorder="1" applyAlignment="1" applyProtection="1">
      <alignment horizontal="center" vertical="center"/>
    </xf>
    <xf numFmtId="0" fontId="52" fillId="32" borderId="14" xfId="40" applyFont="1" applyFill="1" applyBorder="1" applyAlignment="1">
      <alignment horizontal="left" vertical="center" wrapText="1"/>
    </xf>
    <xf numFmtId="0" fontId="52" fillId="32" borderId="11" xfId="40" applyFont="1" applyFill="1" applyBorder="1" applyAlignment="1">
      <alignment horizontal="left" vertical="center" wrapText="1"/>
    </xf>
    <xf numFmtId="0" fontId="52" fillId="32" borderId="13" xfId="40" applyFont="1" applyFill="1" applyBorder="1" applyAlignment="1">
      <alignment horizontal="left" vertical="center" wrapText="1"/>
    </xf>
    <xf numFmtId="0" fontId="49" fillId="0" borderId="0" xfId="0" applyFont="1" applyFill="1" applyBorder="1" applyAlignment="1">
      <alignment horizontal="left"/>
    </xf>
    <xf numFmtId="0" fontId="44" fillId="42" borderId="12" xfId="0" applyFont="1" applyFill="1" applyBorder="1" applyAlignment="1">
      <alignment horizontal="center"/>
    </xf>
    <xf numFmtId="0" fontId="44" fillId="42" borderId="56" xfId="0" applyFont="1" applyFill="1" applyBorder="1" applyAlignment="1">
      <alignment horizontal="center"/>
    </xf>
    <xf numFmtId="0" fontId="44" fillId="42" borderId="15" xfId="0" applyFont="1" applyFill="1" applyBorder="1" applyAlignment="1">
      <alignment horizontal="center"/>
    </xf>
    <xf numFmtId="0" fontId="0" fillId="0" borderId="11" xfId="0" applyBorder="1"/>
    <xf numFmtId="0" fontId="46" fillId="24" borderId="10" xfId="0" applyFont="1" applyFill="1" applyBorder="1" applyAlignment="1">
      <alignment horizontal="center"/>
    </xf>
    <xf numFmtId="0" fontId="44" fillId="42" borderId="0" xfId="0" applyFont="1" applyFill="1" applyBorder="1" applyAlignment="1">
      <alignment horizontal="center" vertical="center"/>
    </xf>
    <xf numFmtId="0" fontId="44" fillId="42" borderId="23" xfId="0" applyFont="1" applyFill="1" applyBorder="1" applyAlignment="1">
      <alignment horizontal="center" vertical="center"/>
    </xf>
    <xf numFmtId="0" fontId="44" fillId="42" borderId="55" xfId="0" applyFont="1" applyFill="1" applyBorder="1" applyAlignment="1">
      <alignment horizontal="center" vertical="center"/>
    </xf>
    <xf numFmtId="0" fontId="44" fillId="42" borderId="25" xfId="0" applyFont="1" applyFill="1" applyBorder="1" applyAlignment="1">
      <alignment horizontal="center" vertical="center"/>
    </xf>
    <xf numFmtId="0" fontId="46" fillId="24" borderId="0" xfId="0" applyFont="1" applyFill="1" applyBorder="1" applyAlignment="1">
      <alignment horizontal="center" vertical="center"/>
    </xf>
    <xf numFmtId="0" fontId="47" fillId="0" borderId="0" xfId="0" applyFont="1" applyFill="1" applyAlignment="1">
      <alignment horizontal="left" vertical="center" wrapText="1"/>
    </xf>
    <xf numFmtId="0" fontId="0" fillId="0" borderId="0" xfId="0" applyFont="1" applyFill="1" applyAlignment="1">
      <alignment horizontal="left" vertical="center" wrapText="1"/>
    </xf>
    <xf numFmtId="0" fontId="46" fillId="35" borderId="10" xfId="0" applyFont="1" applyFill="1" applyBorder="1" applyAlignment="1">
      <alignment horizontal="center"/>
    </xf>
    <xf numFmtId="164" fontId="46" fillId="35" borderId="10" xfId="0" applyNumberFormat="1" applyFont="1" applyFill="1" applyBorder="1" applyAlignment="1">
      <alignment horizontal="center"/>
    </xf>
    <xf numFmtId="0" fontId="46" fillId="35" borderId="10" xfId="0" applyFont="1" applyFill="1" applyBorder="1" applyAlignment="1">
      <alignment horizontal="center" vertical="center" wrapText="1"/>
    </xf>
    <xf numFmtId="0" fontId="0" fillId="0" borderId="0" xfId="0" applyBorder="1" applyAlignment="1">
      <alignment horizontal="left" wrapText="1"/>
    </xf>
    <xf numFmtId="0" fontId="0" fillId="0" borderId="0" xfId="0" applyBorder="1" applyAlignment="1">
      <alignment horizontal="left" vertical="center" wrapText="1"/>
    </xf>
    <xf numFmtId="0" fontId="0" fillId="24" borderId="10" xfId="0" applyFill="1" applyBorder="1" applyAlignment="1">
      <alignment horizontal="center"/>
    </xf>
    <xf numFmtId="0" fontId="94" fillId="43" borderId="0" xfId="0" applyFont="1" applyFill="1" applyBorder="1" applyAlignment="1" applyProtection="1">
      <alignment horizontal="center" vertical="center" wrapText="1"/>
    </xf>
    <xf numFmtId="0" fontId="138" fillId="43" borderId="0" xfId="0" applyFont="1" applyFill="1" applyBorder="1" applyAlignment="1" applyProtection="1">
      <alignment horizontal="center" vertical="center" wrapText="1"/>
    </xf>
    <xf numFmtId="0" fontId="156" fillId="48" borderId="26" xfId="0" applyFont="1" applyFill="1" applyBorder="1" applyAlignment="1">
      <alignment horizontal="center"/>
    </xf>
    <xf numFmtId="0" fontId="156" fillId="48" borderId="57" xfId="0" applyFont="1" applyFill="1" applyBorder="1" applyAlignment="1">
      <alignment horizontal="center"/>
    </xf>
    <xf numFmtId="0" fontId="164" fillId="48" borderId="26" xfId="0" applyFont="1" applyFill="1" applyBorder="1" applyAlignment="1" applyProtection="1">
      <alignment horizontal="center"/>
    </xf>
    <xf numFmtId="0" fontId="164" fillId="48" borderId="57" xfId="0" applyFont="1" applyFill="1" applyBorder="1" applyAlignment="1" applyProtection="1">
      <alignment horizontal="center"/>
    </xf>
    <xf numFmtId="0" fontId="156" fillId="48" borderId="57" xfId="34" applyFont="1" applyFill="1" applyBorder="1" applyAlignment="1" applyProtection="1">
      <alignment horizontal="left"/>
    </xf>
    <xf numFmtId="0" fontId="156" fillId="48" borderId="22" xfId="34" applyFont="1" applyFill="1" applyBorder="1" applyAlignment="1" applyProtection="1">
      <alignment horizontal="left"/>
    </xf>
    <xf numFmtId="0" fontId="82" fillId="43" borderId="0" xfId="0" applyFont="1" applyFill="1" applyBorder="1" applyAlignment="1" applyProtection="1">
      <alignment horizontal="left" vertical="center"/>
    </xf>
    <xf numFmtId="0" fontId="85" fillId="48" borderId="27" xfId="0" applyFont="1" applyFill="1" applyBorder="1" applyAlignment="1" applyProtection="1">
      <alignment horizontal="left" vertical="center" wrapText="1"/>
    </xf>
    <xf numFmtId="0" fontId="85" fillId="48" borderId="46" xfId="0" applyFont="1" applyFill="1" applyBorder="1" applyAlignment="1" applyProtection="1">
      <alignment horizontal="left" vertical="center" wrapText="1"/>
    </xf>
    <xf numFmtId="0" fontId="85" fillId="48" borderId="45" xfId="0" applyFont="1" applyFill="1" applyBorder="1" applyAlignment="1" applyProtection="1">
      <alignment horizontal="left" vertical="center" wrapText="1"/>
    </xf>
    <xf numFmtId="0" fontId="85" fillId="48" borderId="28" xfId="0" applyFont="1" applyFill="1" applyBorder="1" applyAlignment="1" applyProtection="1">
      <alignment horizontal="left" vertical="center" wrapText="1"/>
    </xf>
    <xf numFmtId="0" fontId="85" fillId="48" borderId="0" xfId="0" applyFont="1" applyFill="1" applyBorder="1" applyAlignment="1" applyProtection="1">
      <alignment horizontal="left" vertical="center" wrapText="1"/>
    </xf>
    <xf numFmtId="0" fontId="85" fillId="48" borderId="42" xfId="0" applyFont="1" applyFill="1" applyBorder="1" applyAlignment="1" applyProtection="1">
      <alignment horizontal="left" vertical="center" wrapText="1"/>
    </xf>
    <xf numFmtId="0" fontId="85" fillId="48" borderId="34" xfId="0" applyFont="1" applyFill="1" applyBorder="1" applyAlignment="1" applyProtection="1">
      <alignment horizontal="left" vertical="center" wrapText="1"/>
    </xf>
    <xf numFmtId="0" fontId="85" fillId="48" borderId="43" xfId="0" applyFont="1" applyFill="1" applyBorder="1" applyAlignment="1" applyProtection="1">
      <alignment horizontal="left" vertical="center" wrapText="1"/>
    </xf>
    <xf numFmtId="0" fontId="85" fillId="48" borderId="44" xfId="0" applyFont="1" applyFill="1" applyBorder="1" applyAlignment="1" applyProtection="1">
      <alignment horizontal="left" vertical="center" wrapText="1"/>
    </xf>
    <xf numFmtId="0" fontId="144" fillId="38" borderId="90" xfId="0" applyFont="1" applyFill="1" applyBorder="1" applyAlignment="1" applyProtection="1">
      <alignment horizontal="center"/>
    </xf>
    <xf numFmtId="0" fontId="144" fillId="38" borderId="91" xfId="0" applyFont="1" applyFill="1" applyBorder="1" applyAlignment="1" applyProtection="1">
      <alignment horizontal="center"/>
    </xf>
    <xf numFmtId="0" fontId="144" fillId="38" borderId="92" xfId="0" applyFont="1" applyFill="1" applyBorder="1" applyAlignment="1" applyProtection="1">
      <alignment horizontal="center"/>
    </xf>
    <xf numFmtId="0" fontId="156" fillId="48" borderId="26" xfId="34" applyFont="1" applyFill="1" applyBorder="1" applyAlignment="1" applyProtection="1">
      <alignment horizontal="left"/>
    </xf>
    <xf numFmtId="0" fontId="109" fillId="43" borderId="0" xfId="0" applyFont="1" applyFill="1" applyBorder="1" applyAlignment="1" applyProtection="1">
      <alignment horizontal="center" vertical="center" wrapText="1"/>
    </xf>
    <xf numFmtId="0" fontId="109" fillId="43" borderId="58" xfId="0" applyFont="1" applyFill="1" applyBorder="1" applyAlignment="1" applyProtection="1">
      <alignment horizontal="center" vertical="center" wrapText="1"/>
    </xf>
    <xf numFmtId="0" fontId="109" fillId="43" borderId="0" xfId="0" applyFont="1" applyFill="1" applyBorder="1" applyAlignment="1" applyProtection="1">
      <alignment horizontal="left" vertical="center" wrapText="1"/>
    </xf>
    <xf numFmtId="0" fontId="78" fillId="43" borderId="0" xfId="0" applyFont="1" applyFill="1" applyBorder="1" applyAlignment="1" applyProtection="1">
      <alignment horizontal="left" vertical="center" wrapText="1"/>
    </xf>
    <xf numFmtId="49" fontId="110" fillId="38" borderId="26" xfId="0" applyNumberFormat="1" applyFont="1" applyFill="1" applyBorder="1" applyAlignment="1" applyProtection="1">
      <alignment horizontal="center"/>
    </xf>
    <xf numFmtId="49" fontId="110" fillId="38" borderId="57" xfId="0" applyNumberFormat="1" applyFont="1" applyFill="1" applyBorder="1" applyAlignment="1" applyProtection="1">
      <alignment horizontal="center"/>
    </xf>
    <xf numFmtId="49" fontId="110" fillId="38" borderId="22" xfId="0" applyNumberFormat="1" applyFont="1" applyFill="1" applyBorder="1" applyAlignment="1" applyProtection="1">
      <alignment horizontal="center"/>
    </xf>
    <xf numFmtId="0" fontId="82" fillId="43" borderId="0" xfId="0" applyFont="1" applyFill="1" applyAlignment="1" applyProtection="1">
      <alignment horizontal="left" vertical="center"/>
    </xf>
    <xf numFmtId="0" fontId="119" fillId="43" borderId="0" xfId="0" applyFont="1" applyFill="1" applyAlignment="1" applyProtection="1">
      <alignment horizontal="left" vertical="center"/>
    </xf>
    <xf numFmtId="0" fontId="119" fillId="43" borderId="0" xfId="0" applyFont="1" applyFill="1" applyBorder="1" applyAlignment="1" applyProtection="1">
      <alignment horizontal="left" vertical="center" wrapText="1"/>
    </xf>
    <xf numFmtId="0" fontId="109" fillId="43" borderId="0" xfId="0" applyFont="1" applyFill="1" applyAlignment="1" applyProtection="1">
      <alignment horizontal="center"/>
    </xf>
    <xf numFmtId="0" fontId="109" fillId="43" borderId="58" xfId="0" applyFont="1" applyFill="1" applyBorder="1" applyAlignment="1" applyProtection="1">
      <alignment horizontal="center"/>
    </xf>
    <xf numFmtId="49" fontId="72" fillId="0" borderId="26" xfId="0" applyNumberFormat="1" applyFont="1" applyFill="1" applyBorder="1" applyAlignment="1" applyProtection="1">
      <alignment horizontal="center" vertical="center" wrapText="1"/>
      <protection locked="0"/>
    </xf>
    <xf numFmtId="49" fontId="72" fillId="0" borderId="57" xfId="0" applyNumberFormat="1" applyFont="1" applyFill="1" applyBorder="1" applyAlignment="1" applyProtection="1">
      <alignment horizontal="center" vertical="center" wrapText="1"/>
      <protection locked="0"/>
    </xf>
    <xf numFmtId="49" fontId="72" fillId="0" borderId="22" xfId="0" applyNumberFormat="1" applyFont="1" applyFill="1" applyBorder="1" applyAlignment="1" applyProtection="1">
      <alignment horizontal="center" vertical="center" wrapText="1"/>
      <protection locked="0"/>
    </xf>
    <xf numFmtId="0" fontId="72" fillId="38" borderId="26" xfId="0" applyFont="1" applyFill="1" applyBorder="1" applyAlignment="1" applyProtection="1">
      <alignment horizontal="center"/>
      <protection locked="0"/>
    </xf>
    <xf numFmtId="0" fontId="72" fillId="38" borderId="57" xfId="0" applyFont="1" applyFill="1" applyBorder="1" applyAlignment="1" applyProtection="1">
      <alignment horizontal="center"/>
      <protection locked="0"/>
    </xf>
    <xf numFmtId="0" fontId="72" fillId="38" borderId="22" xfId="0" applyFont="1" applyFill="1" applyBorder="1" applyAlignment="1" applyProtection="1">
      <alignment horizontal="center"/>
      <protection locked="0"/>
    </xf>
    <xf numFmtId="0" fontId="78" fillId="43" borderId="0" xfId="0" applyFont="1" applyFill="1" applyBorder="1" applyAlignment="1" applyProtection="1">
      <alignment horizontal="center" vertical="center" wrapText="1"/>
    </xf>
    <xf numFmtId="0" fontId="157" fillId="34" borderId="0" xfId="0" applyFont="1" applyFill="1" applyAlignment="1" applyProtection="1">
      <alignment horizontal="left" vertical="center" wrapText="1"/>
    </xf>
    <xf numFmtId="0" fontId="78" fillId="43" borderId="26" xfId="0" applyFont="1" applyFill="1" applyBorder="1" applyAlignment="1" applyProtection="1">
      <alignment horizontal="left" vertical="center" wrapText="1"/>
    </xf>
    <xf numFmtId="0" fontId="109" fillId="43" borderId="57" xfId="0" applyFont="1" applyFill="1" applyBorder="1" applyAlignment="1" applyProtection="1">
      <alignment horizontal="left" vertical="center" wrapText="1"/>
    </xf>
    <xf numFmtId="0" fontId="109" fillId="43" borderId="22" xfId="0" applyFont="1" applyFill="1" applyBorder="1" applyAlignment="1" applyProtection="1">
      <alignment horizontal="left" vertical="center" wrapText="1"/>
    </xf>
    <xf numFmtId="0" fontId="72" fillId="38" borderId="26" xfId="0" applyFont="1" applyFill="1" applyBorder="1" applyAlignment="1" applyProtection="1">
      <alignment horizontal="center" vertical="center" wrapText="1"/>
      <protection locked="0"/>
    </xf>
    <xf numFmtId="0" fontId="72" fillId="38" borderId="22" xfId="0" applyFont="1" applyFill="1" applyBorder="1" applyAlignment="1" applyProtection="1">
      <alignment horizontal="center" vertical="center" wrapText="1"/>
      <protection locked="0"/>
    </xf>
    <xf numFmtId="49" fontId="72" fillId="38" borderId="26" xfId="0" applyNumberFormat="1" applyFont="1" applyFill="1" applyBorder="1" applyAlignment="1" applyProtection="1">
      <alignment horizontal="center"/>
      <protection locked="0"/>
    </xf>
    <xf numFmtId="49" fontId="72" fillId="38" borderId="57" xfId="0" applyNumberFormat="1" applyFont="1" applyFill="1" applyBorder="1" applyAlignment="1" applyProtection="1">
      <alignment horizontal="center"/>
      <protection locked="0"/>
    </xf>
    <xf numFmtId="49" fontId="72" fillId="38" borderId="22" xfId="0" applyNumberFormat="1" applyFont="1" applyFill="1" applyBorder="1" applyAlignment="1" applyProtection="1">
      <alignment horizontal="center"/>
      <protection locked="0"/>
    </xf>
    <xf numFmtId="0" fontId="72" fillId="34" borderId="0" xfId="0" applyFont="1" applyFill="1" applyAlignment="1" applyProtection="1">
      <alignment horizontal="left" vertical="center" wrapText="1"/>
    </xf>
    <xf numFmtId="0" fontId="112" fillId="34" borderId="87" xfId="0" applyFont="1" applyFill="1" applyBorder="1" applyAlignment="1" applyProtection="1">
      <alignment horizontal="left" vertical="center" wrapText="1"/>
    </xf>
    <xf numFmtId="0" fontId="112" fillId="34" borderId="85" xfId="0" applyFont="1" applyFill="1" applyBorder="1" applyAlignment="1" applyProtection="1">
      <alignment horizontal="left" vertical="center" wrapText="1"/>
    </xf>
    <xf numFmtId="0" fontId="112" fillId="34" borderId="0" xfId="0" applyFont="1" applyFill="1" applyBorder="1" applyAlignment="1" applyProtection="1">
      <alignment horizontal="left" vertical="center" wrapText="1"/>
    </xf>
    <xf numFmtId="0" fontId="112" fillId="34" borderId="77" xfId="0" applyFont="1" applyFill="1" applyBorder="1" applyAlignment="1" applyProtection="1">
      <alignment horizontal="left" vertical="center" wrapText="1"/>
    </xf>
    <xf numFmtId="0" fontId="112" fillId="34" borderId="0" xfId="0" applyFont="1" applyFill="1" applyBorder="1" applyAlignment="1" applyProtection="1">
      <alignment horizontal="left" vertical="top" wrapText="1"/>
    </xf>
    <xf numFmtId="0" fontId="112" fillId="34" borderId="77" xfId="0" applyFont="1" applyFill="1" applyBorder="1" applyAlignment="1" applyProtection="1">
      <alignment horizontal="left" vertical="top" wrapText="1"/>
    </xf>
    <xf numFmtId="0" fontId="161" fillId="48" borderId="0" xfId="0" applyFont="1" applyFill="1" applyBorder="1" applyAlignment="1" applyProtection="1">
      <alignment horizontal="left"/>
    </xf>
    <xf numFmtId="0" fontId="161" fillId="48" borderId="58" xfId="0" applyFont="1" applyFill="1" applyBorder="1" applyAlignment="1" applyProtection="1">
      <alignment horizontal="left"/>
    </xf>
    <xf numFmtId="1" fontId="110" fillId="38" borderId="26" xfId="0" applyNumberFormat="1" applyFont="1" applyFill="1" applyBorder="1" applyAlignment="1" applyProtection="1">
      <alignment horizontal="center"/>
      <protection locked="0"/>
    </xf>
    <xf numFmtId="1" fontId="110" fillId="38" borderId="22" xfId="0" applyNumberFormat="1" applyFont="1" applyFill="1" applyBorder="1" applyAlignment="1" applyProtection="1">
      <alignment horizontal="center"/>
      <protection locked="0"/>
    </xf>
    <xf numFmtId="0" fontId="103" fillId="43" borderId="26" xfId="0" applyFont="1" applyFill="1" applyBorder="1" applyAlignment="1" applyProtection="1">
      <alignment horizontal="center" vertical="center" wrapText="1"/>
    </xf>
    <xf numFmtId="0" fontId="103" fillId="43" borderId="57" xfId="0" applyFont="1" applyFill="1" applyBorder="1" applyAlignment="1" applyProtection="1">
      <alignment horizontal="center" vertical="center" wrapText="1"/>
    </xf>
    <xf numFmtId="0" fontId="103" fillId="43" borderId="22" xfId="0" applyFont="1" applyFill="1" applyBorder="1" applyAlignment="1" applyProtection="1">
      <alignment horizontal="center" vertical="center" wrapText="1"/>
    </xf>
    <xf numFmtId="49" fontId="83" fillId="38" borderId="26" xfId="0" applyNumberFormat="1" applyFont="1" applyFill="1" applyBorder="1" applyAlignment="1" applyProtection="1">
      <alignment horizontal="center"/>
    </xf>
    <xf numFmtId="0" fontId="72" fillId="34" borderId="86" xfId="0" applyFont="1" applyFill="1" applyBorder="1" applyAlignment="1" applyProtection="1">
      <alignment horizontal="left" vertical="center" wrapText="1"/>
    </xf>
    <xf numFmtId="0" fontId="72" fillId="34" borderId="87" xfId="0" applyFont="1" applyFill="1" applyBorder="1" applyAlignment="1" applyProtection="1">
      <alignment horizontal="left" vertical="center" wrapText="1"/>
    </xf>
    <xf numFmtId="0" fontId="72" fillId="34" borderId="85" xfId="0" applyFont="1" applyFill="1" applyBorder="1" applyAlignment="1" applyProtection="1">
      <alignment horizontal="left" vertical="center" wrapText="1"/>
    </xf>
    <xf numFmtId="0" fontId="72" fillId="34" borderId="78" xfId="0" applyFont="1" applyFill="1" applyBorder="1" applyAlignment="1" applyProtection="1">
      <alignment horizontal="left" vertical="center" wrapText="1"/>
    </xf>
    <xf numFmtId="0" fontId="72" fillId="34" borderId="0" xfId="0" applyFont="1" applyFill="1" applyBorder="1" applyAlignment="1" applyProtection="1">
      <alignment horizontal="left" vertical="center" wrapText="1"/>
    </xf>
    <xf numFmtId="0" fontId="72" fillId="34" borderId="77" xfId="0" applyFont="1" applyFill="1" applyBorder="1" applyAlignment="1" applyProtection="1">
      <alignment horizontal="left" vertical="center" wrapText="1"/>
    </xf>
    <xf numFmtId="0" fontId="72" fillId="34" borderId="79" xfId="0" applyFont="1" applyFill="1" applyBorder="1" applyAlignment="1" applyProtection="1">
      <alignment horizontal="left" vertical="center" wrapText="1"/>
    </xf>
    <xf numFmtId="0" fontId="72" fillId="34" borderId="83" xfId="0" applyFont="1" applyFill="1" applyBorder="1" applyAlignment="1" applyProtection="1">
      <alignment horizontal="left" vertical="center" wrapText="1"/>
    </xf>
    <xf numFmtId="0" fontId="72" fillId="34" borderId="84" xfId="0" applyFont="1" applyFill="1" applyBorder="1" applyAlignment="1" applyProtection="1">
      <alignment horizontal="left" vertical="center" wrapText="1"/>
    </xf>
    <xf numFmtId="0" fontId="112" fillId="34" borderId="83" xfId="0" applyFont="1" applyFill="1" applyBorder="1" applyAlignment="1" applyProtection="1">
      <alignment horizontal="left" vertical="top"/>
    </xf>
    <xf numFmtId="0" fontId="112" fillId="34" borderId="84" xfId="0" applyFont="1" applyFill="1" applyBorder="1" applyAlignment="1" applyProtection="1">
      <alignment horizontal="left" vertical="top"/>
    </xf>
    <xf numFmtId="0" fontId="147" fillId="34" borderId="86" xfId="0" applyFont="1" applyFill="1" applyBorder="1" applyAlignment="1" applyProtection="1">
      <alignment horizontal="right" vertical="center" wrapText="1"/>
    </xf>
    <xf numFmtId="0" fontId="147" fillId="34" borderId="78" xfId="0" applyFont="1" applyFill="1" applyBorder="1" applyAlignment="1" applyProtection="1">
      <alignment horizontal="right" vertical="center"/>
    </xf>
    <xf numFmtId="0" fontId="147" fillId="34" borderId="78" xfId="0" applyFont="1" applyFill="1" applyBorder="1" applyAlignment="1" applyProtection="1">
      <alignment horizontal="right" vertical="top"/>
    </xf>
    <xf numFmtId="0" fontId="112" fillId="34" borderId="0" xfId="0" applyFont="1" applyFill="1" applyBorder="1" applyAlignment="1" applyProtection="1">
      <alignment horizontal="left" vertical="top"/>
    </xf>
    <xf numFmtId="0" fontId="112" fillId="34" borderId="77" xfId="0" applyFont="1" applyFill="1" applyBorder="1" applyAlignment="1" applyProtection="1">
      <alignment horizontal="left" vertical="top"/>
    </xf>
    <xf numFmtId="0" fontId="110" fillId="34" borderId="10" xfId="0" applyFont="1" applyFill="1" applyBorder="1" applyAlignment="1">
      <alignment horizontal="center"/>
    </xf>
    <xf numFmtId="0" fontId="82" fillId="43" borderId="0" xfId="0" applyFont="1" applyFill="1" applyAlignment="1" applyProtection="1">
      <alignment horizontal="center" vertical="center"/>
    </xf>
    <xf numFmtId="0" fontId="119" fillId="43" borderId="0" xfId="0" applyFont="1" applyFill="1" applyAlignment="1" applyProtection="1">
      <alignment horizontal="center" vertical="center"/>
    </xf>
    <xf numFmtId="0" fontId="111" fillId="43" borderId="18" xfId="0" applyFont="1" applyFill="1" applyBorder="1" applyAlignment="1" applyProtection="1">
      <alignment horizontal="center" vertical="center" wrapText="1"/>
    </xf>
    <xf numFmtId="0" fontId="111" fillId="43" borderId="30" xfId="0" applyFont="1" applyFill="1" applyBorder="1" applyAlignment="1" applyProtection="1">
      <alignment horizontal="center" vertical="center" wrapText="1"/>
    </xf>
    <xf numFmtId="0" fontId="111" fillId="43" borderId="60" xfId="0" applyFont="1" applyFill="1" applyBorder="1" applyAlignment="1">
      <alignment horizontal="center" vertical="center"/>
    </xf>
    <xf numFmtId="0" fontId="111" fillId="43" borderId="24" xfId="0" applyFont="1" applyFill="1" applyBorder="1" applyAlignment="1">
      <alignment horizontal="center" vertical="center"/>
    </xf>
    <xf numFmtId="0" fontId="85" fillId="48" borderId="27" xfId="0" applyNumberFormat="1" applyFont="1" applyFill="1" applyBorder="1" applyAlignment="1" applyProtection="1">
      <alignment horizontal="left" vertical="center" wrapText="1"/>
    </xf>
    <xf numFmtId="0" fontId="85" fillId="48" borderId="46" xfId="0" applyNumberFormat="1" applyFont="1" applyFill="1" applyBorder="1" applyAlignment="1" applyProtection="1">
      <alignment horizontal="left" vertical="center" wrapText="1"/>
    </xf>
    <xf numFmtId="0" fontId="85" fillId="48" borderId="45" xfId="0" applyNumberFormat="1" applyFont="1" applyFill="1" applyBorder="1" applyAlignment="1" applyProtection="1">
      <alignment horizontal="left" vertical="center" wrapText="1"/>
    </xf>
    <xf numFmtId="0" fontId="85" fillId="48" borderId="28" xfId="0" applyNumberFormat="1" applyFont="1" applyFill="1" applyBorder="1" applyAlignment="1" applyProtection="1">
      <alignment horizontal="left" vertical="center" wrapText="1"/>
    </xf>
    <xf numFmtId="0" fontId="85" fillId="48" borderId="0" xfId="0" applyNumberFormat="1" applyFont="1" applyFill="1" applyBorder="1" applyAlignment="1" applyProtection="1">
      <alignment horizontal="left" vertical="center" wrapText="1"/>
    </xf>
    <xf numFmtId="0" fontId="85" fillId="48" borderId="42" xfId="0" applyNumberFormat="1" applyFont="1" applyFill="1" applyBorder="1" applyAlignment="1" applyProtection="1">
      <alignment horizontal="left" vertical="center" wrapText="1"/>
    </xf>
    <xf numFmtId="0" fontId="85" fillId="48" borderId="34" xfId="0" applyNumberFormat="1" applyFont="1" applyFill="1" applyBorder="1" applyAlignment="1" applyProtection="1">
      <alignment horizontal="left" vertical="center" wrapText="1"/>
    </xf>
    <xf numFmtId="0" fontId="85" fillId="48" borderId="43" xfId="0" applyNumberFormat="1" applyFont="1" applyFill="1" applyBorder="1" applyAlignment="1" applyProtection="1">
      <alignment horizontal="left" vertical="center" wrapText="1"/>
    </xf>
    <xf numFmtId="0" fontId="85" fillId="48" borderId="44" xfId="0" applyNumberFormat="1" applyFont="1" applyFill="1" applyBorder="1" applyAlignment="1" applyProtection="1">
      <alignment horizontal="left" vertical="center" wrapText="1"/>
    </xf>
    <xf numFmtId="0" fontId="83" fillId="34" borderId="10" xfId="0" applyFont="1" applyFill="1" applyBorder="1" applyAlignment="1">
      <alignment horizontal="center"/>
    </xf>
    <xf numFmtId="4" fontId="109" fillId="43" borderId="60" xfId="0" applyNumberFormat="1" applyFont="1" applyFill="1" applyBorder="1" applyAlignment="1" applyProtection="1">
      <alignment horizontal="right" vertical="center" wrapText="1"/>
    </xf>
    <xf numFmtId="4" fontId="109" fillId="43" borderId="61" xfId="0" applyNumberFormat="1" applyFont="1" applyFill="1" applyBorder="1" applyAlignment="1" applyProtection="1">
      <alignment horizontal="right" vertical="center" wrapText="1"/>
    </xf>
    <xf numFmtId="0" fontId="155" fillId="48" borderId="89" xfId="0" applyFont="1" applyFill="1" applyBorder="1" applyAlignment="1">
      <alignment horizontal="center" vertical="center"/>
    </xf>
    <xf numFmtId="0" fontId="155" fillId="48" borderId="88" xfId="0" applyFont="1" applyFill="1" applyBorder="1" applyAlignment="1">
      <alignment horizontal="center" vertical="center"/>
    </xf>
    <xf numFmtId="0" fontId="120" fillId="43" borderId="0" xfId="0" applyFont="1" applyFill="1" applyBorder="1" applyAlignment="1" applyProtection="1">
      <alignment horizontal="left" vertical="center" wrapText="1"/>
    </xf>
    <xf numFmtId="0" fontId="120" fillId="43" borderId="60" xfId="0" applyFont="1" applyFill="1" applyBorder="1" applyAlignment="1" applyProtection="1">
      <alignment horizontal="center" vertical="center" wrapText="1"/>
    </xf>
    <xf numFmtId="0" fontId="120" fillId="43" borderId="61" xfId="0" applyFont="1" applyFill="1" applyBorder="1" applyAlignment="1" applyProtection="1">
      <alignment horizontal="center" vertical="center" wrapText="1"/>
    </xf>
    <xf numFmtId="0" fontId="120" fillId="43" borderId="24" xfId="0" applyFont="1" applyFill="1" applyBorder="1" applyAlignment="1" applyProtection="1">
      <alignment horizontal="center" vertical="center" wrapText="1"/>
    </xf>
    <xf numFmtId="0" fontId="111" fillId="43" borderId="30" xfId="0" applyFont="1" applyFill="1" applyBorder="1" applyAlignment="1" applyProtection="1">
      <alignment horizontal="left" vertical="center" wrapText="1"/>
    </xf>
    <xf numFmtId="0" fontId="111" fillId="43" borderId="33" xfId="0" applyFont="1" applyFill="1" applyBorder="1" applyAlignment="1" applyProtection="1">
      <alignment horizontal="left" vertical="center" wrapText="1"/>
    </xf>
    <xf numFmtId="4" fontId="155" fillId="48" borderId="88" xfId="0" applyNumberFormat="1" applyFont="1" applyFill="1" applyBorder="1" applyAlignment="1">
      <alignment horizontal="center"/>
    </xf>
    <xf numFmtId="0" fontId="110" fillId="48" borderId="86" xfId="0" applyFont="1" applyFill="1" applyBorder="1" applyAlignment="1" applyProtection="1">
      <alignment horizontal="left" vertical="center" wrapText="1"/>
    </xf>
    <xf numFmtId="0" fontId="110" fillId="48" borderId="87" xfId="0" applyFont="1" applyFill="1" applyBorder="1" applyAlignment="1" applyProtection="1">
      <alignment horizontal="left" vertical="center" wrapText="1"/>
    </xf>
    <xf numFmtId="0" fontId="110" fillId="48" borderId="85" xfId="0" applyFont="1" applyFill="1" applyBorder="1" applyAlignment="1" applyProtection="1">
      <alignment horizontal="left" vertical="center" wrapText="1"/>
    </xf>
    <xf numFmtId="0" fontId="110" fillId="48" borderId="78" xfId="0" applyFont="1" applyFill="1" applyBorder="1" applyAlignment="1" applyProtection="1">
      <alignment horizontal="left" vertical="center" wrapText="1"/>
    </xf>
    <xf numFmtId="0" fontId="110" fillId="48" borderId="0" xfId="0" applyFont="1" applyFill="1" applyBorder="1" applyAlignment="1" applyProtection="1">
      <alignment horizontal="left" vertical="center" wrapText="1"/>
    </xf>
    <xf numFmtId="0" fontId="110" fillId="48" borderId="77" xfId="0" applyFont="1" applyFill="1" applyBorder="1" applyAlignment="1" applyProtection="1">
      <alignment horizontal="left" vertical="center" wrapText="1"/>
    </xf>
    <xf numFmtId="0" fontId="110" fillId="48" borderId="79" xfId="0" applyFont="1" applyFill="1" applyBorder="1" applyAlignment="1" applyProtection="1">
      <alignment horizontal="left" vertical="center" wrapText="1"/>
    </xf>
    <xf numFmtId="0" fontId="110" fillId="48" borderId="83" xfId="0" applyFont="1" applyFill="1" applyBorder="1" applyAlignment="1" applyProtection="1">
      <alignment horizontal="left" vertical="center" wrapText="1"/>
    </xf>
    <xf numFmtId="0" fontId="110" fillId="48" borderId="84" xfId="0" applyFont="1" applyFill="1" applyBorder="1" applyAlignment="1" applyProtection="1">
      <alignment horizontal="left" vertical="center" wrapText="1"/>
    </xf>
    <xf numFmtId="0" fontId="72" fillId="44" borderId="12" xfId="0" applyFont="1" applyFill="1" applyBorder="1" applyAlignment="1" applyProtection="1">
      <alignment horizontal="center" vertical="center"/>
    </xf>
    <xf numFmtId="0" fontId="72" fillId="44" borderId="56" xfId="0" applyFont="1" applyFill="1" applyBorder="1" applyAlignment="1" applyProtection="1">
      <alignment horizontal="center" vertical="center"/>
    </xf>
    <xf numFmtId="0" fontId="72" fillId="44" borderId="15" xfId="0" applyFont="1" applyFill="1" applyBorder="1" applyAlignment="1" applyProtection="1">
      <alignment horizontal="center" vertical="center"/>
    </xf>
    <xf numFmtId="0" fontId="79" fillId="34" borderId="46" xfId="0" applyFont="1" applyFill="1" applyBorder="1" applyAlignment="1" applyProtection="1">
      <alignment horizontal="left" wrapText="1"/>
    </xf>
    <xf numFmtId="0" fontId="79" fillId="34" borderId="45" xfId="0" applyFont="1" applyFill="1" applyBorder="1" applyAlignment="1" applyProtection="1">
      <alignment horizontal="left" wrapText="1"/>
    </xf>
    <xf numFmtId="4" fontId="112" fillId="0" borderId="21" xfId="0" applyNumberFormat="1" applyFont="1" applyFill="1" applyBorder="1" applyAlignment="1">
      <alignment horizontal="right"/>
    </xf>
    <xf numFmtId="4" fontId="112" fillId="0" borderId="59" xfId="0" applyNumberFormat="1" applyFont="1" applyFill="1" applyBorder="1" applyAlignment="1">
      <alignment horizontal="right"/>
    </xf>
    <xf numFmtId="0" fontId="79" fillId="34" borderId="0" xfId="0" applyFont="1" applyFill="1" applyBorder="1" applyAlignment="1" applyProtection="1">
      <alignment horizontal="left" vertical="top" wrapText="1"/>
    </xf>
    <xf numFmtId="0" fontId="79" fillId="34" borderId="42" xfId="0" applyFont="1" applyFill="1" applyBorder="1" applyAlignment="1" applyProtection="1">
      <alignment horizontal="left" vertical="top" wrapText="1"/>
    </xf>
    <xf numFmtId="0" fontId="79" fillId="34" borderId="0" xfId="0" applyFont="1" applyFill="1" applyBorder="1" applyAlignment="1" applyProtection="1">
      <alignment horizontal="center" vertical="top" wrapText="1"/>
    </xf>
    <xf numFmtId="0" fontId="79" fillId="34" borderId="42" xfId="0" applyFont="1" applyFill="1" applyBorder="1" applyAlignment="1" applyProtection="1">
      <alignment horizontal="center" vertical="top" wrapText="1"/>
    </xf>
    <xf numFmtId="0" fontId="79" fillId="34" borderId="0" xfId="0" applyFont="1" applyFill="1" applyBorder="1" applyAlignment="1" applyProtection="1">
      <alignment horizontal="left" vertical="center" wrapText="1"/>
    </xf>
    <xf numFmtId="0" fontId="79" fillId="34" borderId="42" xfId="0" applyFont="1" applyFill="1" applyBorder="1" applyAlignment="1" applyProtection="1">
      <alignment horizontal="left" vertical="center" wrapText="1"/>
    </xf>
    <xf numFmtId="0" fontId="79" fillId="34" borderId="43" xfId="0" applyFont="1" applyFill="1" applyBorder="1" applyAlignment="1" applyProtection="1">
      <alignment horizontal="left" vertical="center" wrapText="1"/>
    </xf>
    <xf numFmtId="0" fontId="79" fillId="34" borderId="44" xfId="0" applyFont="1" applyFill="1" applyBorder="1" applyAlignment="1" applyProtection="1">
      <alignment horizontal="left" vertical="center" wrapText="1"/>
    </xf>
    <xf numFmtId="0" fontId="117" fillId="34" borderId="0" xfId="0" applyFont="1" applyFill="1" applyBorder="1" applyAlignment="1">
      <alignment horizontal="right" vertical="top" wrapText="1"/>
    </xf>
    <xf numFmtId="0" fontId="117" fillId="34" borderId="43" xfId="0" applyFont="1" applyFill="1" applyBorder="1" applyAlignment="1">
      <alignment horizontal="right" vertical="top" wrapText="1"/>
    </xf>
    <xf numFmtId="0" fontId="111" fillId="43" borderId="30" xfId="0" applyFont="1" applyFill="1" applyBorder="1" applyAlignment="1">
      <alignment horizontal="center" vertical="center" wrapText="1"/>
    </xf>
    <xf numFmtId="0" fontId="103" fillId="43" borderId="0" xfId="0" applyFont="1" applyFill="1" applyBorder="1" applyAlignment="1" applyProtection="1">
      <alignment horizontal="left" vertical="center" wrapText="1"/>
    </xf>
    <xf numFmtId="0" fontId="111" fillId="43" borderId="18" xfId="0" applyFont="1" applyFill="1" applyBorder="1" applyAlignment="1">
      <alignment horizontal="center"/>
    </xf>
    <xf numFmtId="4" fontId="155" fillId="48" borderId="88" xfId="0" applyNumberFormat="1" applyFont="1" applyFill="1" applyBorder="1" applyAlignment="1">
      <alignment horizontal="center" vertical="center"/>
    </xf>
    <xf numFmtId="0" fontId="79" fillId="34" borderId="43" xfId="0" applyFont="1" applyFill="1" applyBorder="1" applyAlignment="1" applyProtection="1">
      <alignment horizontal="left" vertical="top" wrapText="1"/>
    </xf>
    <xf numFmtId="0" fontId="79" fillId="34" borderId="44" xfId="0" applyFont="1" applyFill="1" applyBorder="1" applyAlignment="1" applyProtection="1">
      <alignment horizontal="left" vertical="top" wrapText="1"/>
    </xf>
    <xf numFmtId="0" fontId="79" fillId="34" borderId="46" xfId="0" applyFont="1" applyFill="1" applyBorder="1" applyAlignment="1" applyProtection="1">
      <alignment horizontal="left" vertical="top" wrapText="1"/>
    </xf>
    <xf numFmtId="0" fontId="79" fillId="34" borderId="45" xfId="0" applyFont="1" applyFill="1" applyBorder="1" applyAlignment="1" applyProtection="1">
      <alignment horizontal="left" vertical="top" wrapText="1"/>
    </xf>
    <xf numFmtId="0" fontId="72" fillId="34" borderId="0" xfId="0" applyFont="1" applyFill="1" applyAlignment="1">
      <alignment horizontal="left" wrapText="1"/>
    </xf>
    <xf numFmtId="0" fontId="88" fillId="43" borderId="18" xfId="0" applyFont="1" applyFill="1" applyBorder="1" applyAlignment="1" applyProtection="1">
      <alignment horizontal="center" vertical="center" wrapText="1"/>
    </xf>
    <xf numFmtId="0" fontId="88" fillId="43" borderId="60" xfId="0" applyFont="1" applyFill="1" applyBorder="1" applyAlignment="1" applyProtection="1">
      <alignment horizontal="center" vertical="center" wrapText="1"/>
    </xf>
    <xf numFmtId="0" fontId="88" fillId="43" borderId="24" xfId="0" applyFont="1" applyFill="1" applyBorder="1" applyAlignment="1" applyProtection="1">
      <alignment horizontal="center" vertical="center" wrapText="1"/>
    </xf>
    <xf numFmtId="4" fontId="112" fillId="0" borderId="71" xfId="0" applyNumberFormat="1" applyFont="1" applyFill="1" applyBorder="1" applyAlignment="1" applyProtection="1">
      <alignment horizontal="center"/>
    </xf>
    <xf numFmtId="4" fontId="112" fillId="0" borderId="24" xfId="0" applyNumberFormat="1" applyFont="1" applyFill="1" applyBorder="1" applyAlignment="1" applyProtection="1">
      <alignment horizontal="center"/>
    </xf>
    <xf numFmtId="0" fontId="88" fillId="43" borderId="30" xfId="0" applyFont="1" applyFill="1" applyBorder="1" applyAlignment="1" applyProtection="1">
      <alignment horizontal="center" vertical="center" wrapText="1"/>
    </xf>
    <xf numFmtId="0" fontId="88" fillId="43" borderId="41" xfId="0" applyFont="1" applyFill="1" applyBorder="1" applyAlignment="1" applyProtection="1">
      <alignment horizontal="center" vertical="center" wrapText="1"/>
    </xf>
    <xf numFmtId="0" fontId="82" fillId="43" borderId="0" xfId="0" applyFont="1" applyFill="1" applyBorder="1" applyAlignment="1" applyProtection="1">
      <alignment horizontal="left" vertical="center" wrapText="1"/>
    </xf>
    <xf numFmtId="0" fontId="72" fillId="0" borderId="57" xfId="0" applyNumberFormat="1" applyFont="1" applyFill="1" applyBorder="1" applyAlignment="1" applyProtection="1">
      <alignment horizontal="center"/>
    </xf>
    <xf numFmtId="0" fontId="72" fillId="0" borderId="22" xfId="0" applyNumberFormat="1" applyFont="1" applyFill="1" applyBorder="1" applyAlignment="1" applyProtection="1">
      <alignment horizontal="center"/>
    </xf>
    <xf numFmtId="0" fontId="72" fillId="0" borderId="57" xfId="0" applyNumberFormat="1" applyFont="1" applyFill="1" applyBorder="1" applyAlignment="1" applyProtection="1">
      <alignment horizontal="center" vertical="center"/>
    </xf>
    <xf numFmtId="0" fontId="72" fillId="0" borderId="22" xfId="0" applyNumberFormat="1" applyFont="1" applyFill="1" applyBorder="1" applyAlignment="1" applyProtection="1">
      <alignment horizontal="center" vertical="center"/>
    </xf>
    <xf numFmtId="4" fontId="79" fillId="0" borderId="26" xfId="0" applyNumberFormat="1" applyFont="1" applyFill="1" applyBorder="1" applyAlignment="1" applyProtection="1">
      <alignment horizontal="right" vertical="center"/>
    </xf>
    <xf numFmtId="4" fontId="79" fillId="0" borderId="22" xfId="0" applyNumberFormat="1" applyFont="1" applyFill="1" applyBorder="1" applyAlignment="1" applyProtection="1">
      <alignment horizontal="right" vertical="center"/>
    </xf>
    <xf numFmtId="4" fontId="79" fillId="0" borderId="26" xfId="0" applyNumberFormat="1" applyFont="1" applyFill="1" applyBorder="1" applyAlignment="1" applyProtection="1">
      <alignment horizontal="right"/>
    </xf>
    <xf numFmtId="4" fontId="79" fillId="0" borderId="22" xfId="0" applyNumberFormat="1" applyFont="1" applyFill="1" applyBorder="1" applyAlignment="1" applyProtection="1">
      <alignment horizontal="right"/>
    </xf>
    <xf numFmtId="0" fontId="139" fillId="0" borderId="57" xfId="0" applyFont="1" applyFill="1" applyBorder="1" applyAlignment="1" applyProtection="1">
      <alignment horizontal="left"/>
    </xf>
    <xf numFmtId="0" fontId="139" fillId="0" borderId="22" xfId="0" applyFont="1" applyFill="1" applyBorder="1" applyAlignment="1" applyProtection="1">
      <alignment horizontal="left"/>
    </xf>
    <xf numFmtId="0" fontId="103" fillId="43" borderId="0" xfId="0" applyFont="1" applyFill="1" applyBorder="1" applyAlignment="1" applyProtection="1">
      <alignment horizontal="center" vertical="top" wrapText="1"/>
    </xf>
    <xf numFmtId="0" fontId="72" fillId="0" borderId="57" xfId="0" applyFont="1" applyFill="1" applyBorder="1" applyAlignment="1" applyProtection="1">
      <alignment horizontal="center"/>
    </xf>
    <xf numFmtId="0" fontId="72" fillId="0" borderId="22" xfId="0" applyFont="1" applyFill="1" applyBorder="1" applyAlignment="1" applyProtection="1">
      <alignment horizontal="center"/>
    </xf>
    <xf numFmtId="0" fontId="88" fillId="43" borderId="38" xfId="0" applyFont="1" applyFill="1" applyBorder="1" applyAlignment="1" applyProtection="1">
      <alignment horizontal="center" vertical="center" wrapText="1"/>
    </xf>
    <xf numFmtId="0" fontId="88" fillId="43" borderId="29" xfId="0" applyFont="1" applyFill="1" applyBorder="1" applyAlignment="1" applyProtection="1">
      <alignment horizontal="center" vertical="center" wrapText="1"/>
    </xf>
    <xf numFmtId="0" fontId="88" fillId="43" borderId="61" xfId="0" applyFont="1" applyFill="1" applyBorder="1" applyAlignment="1" applyProtection="1">
      <alignment horizontal="center" vertical="center" wrapText="1"/>
    </xf>
    <xf numFmtId="4" fontId="79" fillId="0" borderId="69" xfId="0" applyNumberFormat="1" applyFont="1" applyFill="1" applyBorder="1" applyAlignment="1" applyProtection="1">
      <alignment horizontal="right" vertical="center"/>
    </xf>
    <xf numFmtId="4" fontId="79" fillId="0" borderId="70" xfId="0" applyNumberFormat="1" applyFont="1" applyFill="1" applyBorder="1" applyAlignment="1" applyProtection="1">
      <alignment horizontal="right" vertical="center"/>
    </xf>
    <xf numFmtId="4" fontId="79" fillId="0" borderId="69" xfId="0" applyNumberFormat="1" applyFont="1" applyFill="1" applyBorder="1" applyAlignment="1" applyProtection="1">
      <alignment horizontal="right"/>
    </xf>
    <xf numFmtId="4" fontId="79" fillId="0" borderId="70" xfId="0" applyNumberFormat="1" applyFont="1" applyFill="1" applyBorder="1" applyAlignment="1" applyProtection="1">
      <alignment horizontal="right"/>
    </xf>
    <xf numFmtId="0" fontId="139" fillId="0" borderId="20" xfId="0" applyFont="1" applyFill="1" applyBorder="1" applyAlignment="1" applyProtection="1">
      <alignment horizontal="left"/>
    </xf>
    <xf numFmtId="4" fontId="112" fillId="0" borderId="69" xfId="0" applyNumberFormat="1" applyFont="1" applyFill="1" applyBorder="1" applyAlignment="1" applyProtection="1">
      <alignment horizontal="right"/>
    </xf>
    <xf numFmtId="4" fontId="112" fillId="0" borderId="70" xfId="0" applyNumberFormat="1" applyFont="1" applyFill="1" applyBorder="1" applyAlignment="1" applyProtection="1">
      <alignment horizontal="right"/>
    </xf>
    <xf numFmtId="0" fontId="88" fillId="43" borderId="37" xfId="0" applyFont="1" applyFill="1" applyBorder="1" applyAlignment="1" applyProtection="1">
      <alignment horizontal="center" vertical="center" wrapText="1"/>
    </xf>
    <xf numFmtId="0" fontId="88" fillId="43" borderId="0" xfId="0" applyFont="1" applyFill="1" applyBorder="1" applyAlignment="1" applyProtection="1">
      <alignment horizontal="center" vertical="center" wrapText="1"/>
    </xf>
    <xf numFmtId="0" fontId="88" fillId="43" borderId="62" xfId="0" applyFont="1" applyFill="1" applyBorder="1" applyAlignment="1" applyProtection="1">
      <alignment horizontal="center" vertical="center" wrapText="1"/>
    </xf>
    <xf numFmtId="4" fontId="118" fillId="0" borderId="71" xfId="0" applyNumberFormat="1" applyFont="1" applyFill="1" applyBorder="1" applyAlignment="1" applyProtection="1">
      <alignment horizontal="right"/>
    </xf>
    <xf numFmtId="4" fontId="118" fillId="0" borderId="24" xfId="0" applyNumberFormat="1" applyFont="1" applyFill="1" applyBorder="1" applyAlignment="1" applyProtection="1">
      <alignment horizontal="right"/>
    </xf>
    <xf numFmtId="4" fontId="112" fillId="0" borderId="69" xfId="0" applyNumberFormat="1" applyFont="1" applyFill="1" applyBorder="1" applyAlignment="1" applyProtection="1">
      <alignment horizontal="center"/>
    </xf>
    <xf numFmtId="4" fontId="112" fillId="0" borderId="68" xfId="0" applyNumberFormat="1" applyFont="1" applyFill="1" applyBorder="1" applyAlignment="1" applyProtection="1">
      <alignment horizontal="center"/>
    </xf>
    <xf numFmtId="1" fontId="123" fillId="34" borderId="0" xfId="0" applyNumberFormat="1" applyFont="1" applyFill="1" applyBorder="1" applyAlignment="1" applyProtection="1">
      <alignment horizontal="center"/>
    </xf>
    <xf numFmtId="4" fontId="83" fillId="34" borderId="40" xfId="0" applyNumberFormat="1" applyFont="1" applyFill="1" applyBorder="1" applyAlignment="1" applyProtection="1">
      <alignment horizontal="right"/>
    </xf>
    <xf numFmtId="4" fontId="123" fillId="34" borderId="0" xfId="0" applyNumberFormat="1" applyFont="1" applyFill="1" applyBorder="1" applyAlignment="1" applyProtection="1">
      <alignment horizontal="right"/>
    </xf>
    <xf numFmtId="1" fontId="123" fillId="34" borderId="40" xfId="0" applyNumberFormat="1" applyFont="1" applyFill="1" applyBorder="1" applyAlignment="1" applyProtection="1">
      <alignment horizontal="center"/>
    </xf>
    <xf numFmtId="4" fontId="83" fillId="34" borderId="57" xfId="0" applyNumberFormat="1" applyFont="1" applyFill="1" applyBorder="1" applyAlignment="1" applyProtection="1">
      <alignment horizontal="right"/>
    </xf>
    <xf numFmtId="4" fontId="123" fillId="34" borderId="40" xfId="0" applyNumberFormat="1" applyFont="1" applyFill="1" applyBorder="1" applyAlignment="1" applyProtection="1">
      <alignment horizontal="right"/>
    </xf>
    <xf numFmtId="0" fontId="88" fillId="43" borderId="30" xfId="0" applyFont="1" applyFill="1" applyBorder="1" applyAlignment="1" applyProtection="1">
      <alignment horizontal="center" vertical="center"/>
    </xf>
    <xf numFmtId="0" fontId="88" fillId="43" borderId="41" xfId="0" applyFont="1" applyFill="1" applyBorder="1" applyAlignment="1" applyProtection="1">
      <alignment horizontal="center" vertical="center"/>
    </xf>
    <xf numFmtId="0" fontId="88" fillId="43" borderId="30" xfId="0" applyNumberFormat="1" applyFont="1" applyFill="1" applyBorder="1" applyAlignment="1" applyProtection="1">
      <alignment horizontal="center" vertical="center" wrapText="1"/>
    </xf>
    <xf numFmtId="0" fontId="88" fillId="43" borderId="41" xfId="0" applyNumberFormat="1" applyFont="1" applyFill="1" applyBorder="1" applyAlignment="1" applyProtection="1">
      <alignment horizontal="center" vertical="center" wrapText="1"/>
    </xf>
    <xf numFmtId="1" fontId="123" fillId="0" borderId="20" xfId="0" applyNumberFormat="1" applyFont="1" applyFill="1" applyBorder="1" applyAlignment="1" applyProtection="1">
      <alignment horizontal="center"/>
    </xf>
    <xf numFmtId="0" fontId="123" fillId="0" borderId="20" xfId="0" applyFont="1" applyFill="1" applyBorder="1" applyAlignment="1" applyProtection="1">
      <alignment horizontal="center"/>
    </xf>
    <xf numFmtId="4" fontId="83" fillId="0" borderId="20" xfId="0" applyNumberFormat="1" applyFont="1" applyFill="1" applyBorder="1" applyAlignment="1" applyProtection="1">
      <alignment horizontal="right"/>
    </xf>
    <xf numFmtId="4" fontId="123" fillId="33" borderId="20" xfId="0" applyNumberFormat="1" applyFont="1" applyFill="1" applyBorder="1" applyAlignment="1" applyProtection="1">
      <alignment horizontal="right"/>
    </xf>
    <xf numFmtId="0" fontId="103" fillId="43" borderId="0" xfId="0" applyFont="1" applyFill="1" applyBorder="1" applyAlignment="1" applyProtection="1">
      <alignment horizontal="left" vertical="top" wrapText="1"/>
    </xf>
    <xf numFmtId="1" fontId="88" fillId="43" borderId="30" xfId="0" applyNumberFormat="1" applyFont="1" applyFill="1" applyBorder="1" applyAlignment="1" applyProtection="1">
      <alignment horizontal="center" vertical="center"/>
    </xf>
    <xf numFmtId="1" fontId="88" fillId="43" borderId="63" xfId="0" applyNumberFormat="1" applyFont="1" applyFill="1" applyBorder="1" applyAlignment="1" applyProtection="1">
      <alignment horizontal="center" vertical="center"/>
    </xf>
    <xf numFmtId="0" fontId="88" fillId="43" borderId="19" xfId="0" applyFont="1" applyFill="1" applyBorder="1" applyAlignment="1" applyProtection="1">
      <alignment horizontal="center" vertical="center"/>
    </xf>
    <xf numFmtId="0" fontId="88" fillId="43" borderId="64" xfId="0" applyFont="1" applyFill="1" applyBorder="1" applyAlignment="1" applyProtection="1">
      <alignment horizontal="center" vertical="center"/>
    </xf>
    <xf numFmtId="0" fontId="88" fillId="43" borderId="65" xfId="0" applyFont="1" applyFill="1" applyBorder="1" applyAlignment="1" applyProtection="1">
      <alignment horizontal="center" vertical="center"/>
    </xf>
    <xf numFmtId="0" fontId="88" fillId="43" borderId="66" xfId="0" applyFont="1" applyFill="1" applyBorder="1" applyAlignment="1" applyProtection="1">
      <alignment horizontal="center" vertical="center" wrapText="1"/>
    </xf>
    <xf numFmtId="0" fontId="88" fillId="43" borderId="67" xfId="0" applyFont="1" applyFill="1" applyBorder="1" applyAlignment="1" applyProtection="1">
      <alignment horizontal="center" vertical="center" wrapText="1"/>
    </xf>
    <xf numFmtId="0" fontId="88" fillId="43" borderId="68" xfId="0" applyFont="1" applyFill="1" applyBorder="1" applyAlignment="1" applyProtection="1">
      <alignment horizontal="center" vertical="center" wrapText="1"/>
    </xf>
    <xf numFmtId="0" fontId="123" fillId="0" borderId="26" xfId="0" applyFont="1" applyFill="1" applyBorder="1" applyAlignment="1" applyProtection="1">
      <alignment horizontal="center"/>
    </xf>
    <xf numFmtId="0" fontId="123" fillId="0" borderId="57" xfId="0" applyFont="1" applyFill="1" applyBorder="1" applyAlignment="1" applyProtection="1">
      <alignment horizontal="center"/>
    </xf>
    <xf numFmtId="0" fontId="123" fillId="0" borderId="22" xfId="0" applyFont="1" applyFill="1" applyBorder="1" applyAlignment="1" applyProtection="1">
      <alignment horizontal="center"/>
    </xf>
    <xf numFmtId="0" fontId="123" fillId="33" borderId="26" xfId="0" applyFont="1" applyFill="1" applyBorder="1" applyAlignment="1" applyProtection="1">
      <alignment horizontal="center"/>
    </xf>
    <xf numFmtId="0" fontId="123" fillId="33" borderId="57" xfId="0" applyFont="1" applyFill="1" applyBorder="1" applyAlignment="1" applyProtection="1">
      <alignment horizontal="center"/>
    </xf>
    <xf numFmtId="0" fontId="123" fillId="33" borderId="22" xfId="0" applyFont="1" applyFill="1" applyBorder="1" applyAlignment="1" applyProtection="1">
      <alignment horizontal="center"/>
    </xf>
    <xf numFmtId="0" fontId="163" fillId="46" borderId="0" xfId="0" applyFont="1" applyFill="1" applyBorder="1" applyAlignment="1" applyProtection="1">
      <alignment horizontal="right" vertical="center" wrapText="1"/>
    </xf>
    <xf numFmtId="0" fontId="159" fillId="34" borderId="0" xfId="0" applyFont="1" applyFill="1" applyBorder="1" applyAlignment="1" applyProtection="1">
      <alignment horizontal="center"/>
    </xf>
    <xf numFmtId="0" fontId="155" fillId="34" borderId="0" xfId="0" applyFont="1" applyFill="1" applyAlignment="1" applyProtection="1">
      <alignment horizontal="right" vertical="center"/>
    </xf>
    <xf numFmtId="0" fontId="149" fillId="0" borderId="26" xfId="0" applyFont="1" applyFill="1" applyBorder="1" applyAlignment="1" applyProtection="1">
      <alignment horizontal="right" vertical="center"/>
    </xf>
    <xf numFmtId="0" fontId="149" fillId="0" borderId="57" xfId="0" applyFont="1" applyFill="1" applyBorder="1" applyAlignment="1" applyProtection="1">
      <alignment horizontal="right" vertical="center"/>
    </xf>
    <xf numFmtId="0" fontId="149" fillId="0" borderId="22" xfId="0" applyFont="1" applyFill="1" applyBorder="1" applyAlignment="1" applyProtection="1">
      <alignment horizontal="right" vertical="center"/>
    </xf>
    <xf numFmtId="0" fontId="149" fillId="0" borderId="93" xfId="0" applyFont="1" applyFill="1" applyBorder="1" applyAlignment="1" applyProtection="1">
      <alignment horizontal="right" vertical="center"/>
    </xf>
    <xf numFmtId="0" fontId="149" fillId="0" borderId="94" xfId="0" applyFont="1" applyFill="1" applyBorder="1" applyAlignment="1" applyProtection="1">
      <alignment horizontal="right" vertical="center"/>
    </xf>
    <xf numFmtId="0" fontId="149" fillId="0" borderId="95" xfId="0" applyFont="1" applyFill="1" applyBorder="1" applyAlignment="1" applyProtection="1">
      <alignment horizontal="right" vertical="center"/>
    </xf>
    <xf numFmtId="0" fontId="149" fillId="0" borderId="96" xfId="0" applyFont="1" applyFill="1" applyBorder="1" applyAlignment="1" applyProtection="1">
      <alignment horizontal="right" vertical="center"/>
    </xf>
    <xf numFmtId="0" fontId="163" fillId="34" borderId="0" xfId="0" applyFont="1" applyFill="1" applyBorder="1" applyAlignment="1" applyProtection="1">
      <alignment horizontal="right" vertical="center"/>
    </xf>
    <xf numFmtId="0" fontId="149" fillId="49" borderId="26" xfId="0" applyFont="1" applyFill="1" applyBorder="1" applyAlignment="1" applyProtection="1">
      <alignment horizontal="right" vertical="center" wrapText="1"/>
    </xf>
    <xf numFmtId="0" fontId="149" fillId="49" borderId="57" xfId="0" applyFont="1" applyFill="1" applyBorder="1" applyAlignment="1" applyProtection="1">
      <alignment horizontal="right" vertical="center" wrapText="1"/>
    </xf>
    <xf numFmtId="0" fontId="149" fillId="49" borderId="22" xfId="0" applyFont="1" applyFill="1" applyBorder="1" applyAlignment="1" applyProtection="1">
      <alignment horizontal="right" vertical="center" wrapText="1"/>
    </xf>
    <xf numFmtId="0" fontId="165" fillId="47" borderId="0" xfId="0" applyFont="1" applyFill="1" applyBorder="1" applyAlignment="1" applyProtection="1">
      <alignment horizontal="center" vertical="center"/>
    </xf>
    <xf numFmtId="0" fontId="165" fillId="47" borderId="97" xfId="0" applyFont="1" applyFill="1" applyBorder="1" applyAlignment="1" applyProtection="1">
      <alignment horizontal="center" vertical="center"/>
    </xf>
    <xf numFmtId="0" fontId="83" fillId="48" borderId="27" xfId="0" applyFont="1" applyFill="1" applyBorder="1" applyAlignment="1" applyProtection="1">
      <alignment horizontal="left" vertical="center" wrapText="1"/>
    </xf>
    <xf numFmtId="0" fontId="83" fillId="48" borderId="46" xfId="0" applyFont="1" applyFill="1" applyBorder="1" applyAlignment="1" applyProtection="1">
      <alignment horizontal="left" vertical="center" wrapText="1"/>
    </xf>
    <xf numFmtId="0" fontId="83" fillId="48" borderId="45" xfId="0" applyFont="1" applyFill="1" applyBorder="1" applyAlignment="1" applyProtection="1">
      <alignment horizontal="left" vertical="center" wrapText="1"/>
    </xf>
    <xf numFmtId="0" fontId="83" fillId="48" borderId="28" xfId="0" applyFont="1" applyFill="1" applyBorder="1" applyAlignment="1" applyProtection="1">
      <alignment horizontal="left" vertical="center" wrapText="1"/>
    </xf>
    <xf numFmtId="0" fontId="83" fillId="48" borderId="0" xfId="0" applyFont="1" applyFill="1" applyBorder="1" applyAlignment="1" applyProtection="1">
      <alignment horizontal="left" vertical="center" wrapText="1"/>
    </xf>
    <xf numFmtId="0" fontId="83" fillId="48" borderId="42" xfId="0" applyFont="1" applyFill="1" applyBorder="1" applyAlignment="1" applyProtection="1">
      <alignment horizontal="left" vertical="center" wrapText="1"/>
    </xf>
    <xf numFmtId="0" fontId="72" fillId="48" borderId="28" xfId="0" applyFont="1" applyFill="1" applyBorder="1" applyAlignment="1" applyProtection="1">
      <alignment horizontal="left" vertical="center" wrapText="1" indent="1"/>
    </xf>
    <xf numFmtId="0" fontId="72" fillId="48" borderId="0" xfId="0" applyFont="1" applyFill="1" applyBorder="1" applyAlignment="1" applyProtection="1">
      <alignment horizontal="left" vertical="center" wrapText="1" indent="1"/>
    </xf>
    <xf numFmtId="0" fontId="72" fillId="48" borderId="42" xfId="0" applyFont="1" applyFill="1" applyBorder="1" applyAlignment="1" applyProtection="1">
      <alignment horizontal="left" vertical="center" wrapText="1" indent="1"/>
    </xf>
    <xf numFmtId="0" fontId="83" fillId="48" borderId="34" xfId="0" applyFont="1" applyFill="1" applyBorder="1" applyAlignment="1" applyProtection="1">
      <alignment horizontal="left" vertical="top" wrapText="1" indent="1"/>
    </xf>
    <xf numFmtId="0" fontId="83" fillId="48" borderId="43" xfId="0" applyFont="1" applyFill="1" applyBorder="1" applyAlignment="1" applyProtection="1">
      <alignment horizontal="left" vertical="top" wrapText="1" indent="1"/>
    </xf>
    <xf numFmtId="0" fontId="83" fillId="48" borderId="44" xfId="0" applyFont="1" applyFill="1" applyBorder="1" applyAlignment="1" applyProtection="1">
      <alignment horizontal="left" vertical="top" wrapText="1" indent="1"/>
    </xf>
    <xf numFmtId="0" fontId="166" fillId="46" borderId="0" xfId="0" applyFont="1" applyFill="1" applyBorder="1" applyAlignment="1" applyProtection="1">
      <alignment horizontal="left" vertical="center" wrapText="1"/>
    </xf>
    <xf numFmtId="0" fontId="70" fillId="0" borderId="26" xfId="40" applyFont="1" applyFill="1" applyBorder="1" applyAlignment="1">
      <alignment horizontal="left" vertical="center" wrapText="1"/>
    </xf>
    <xf numFmtId="0" fontId="70" fillId="0" borderId="22" xfId="40" applyFont="1" applyFill="1" applyBorder="1" applyAlignment="1">
      <alignment horizontal="left" vertical="center" wrapText="1"/>
    </xf>
    <xf numFmtId="0" fontId="70" fillId="0" borderId="26" xfId="0" applyFont="1" applyFill="1" applyBorder="1" applyAlignment="1">
      <alignment horizontal="left" vertical="center"/>
    </xf>
    <xf numFmtId="0" fontId="70" fillId="0" borderId="22" xfId="0" applyFont="1" applyFill="1" applyBorder="1" applyAlignment="1">
      <alignment horizontal="left" vertical="center"/>
    </xf>
    <xf numFmtId="0" fontId="110" fillId="0" borderId="0" xfId="0" applyFont="1" applyFill="1" applyBorder="1" applyAlignment="1">
      <alignment horizontal="left"/>
    </xf>
    <xf numFmtId="0" fontId="110" fillId="0" borderId="0" xfId="0" applyFont="1" applyFill="1" applyBorder="1" applyAlignment="1"/>
    <xf numFmtId="0" fontId="0" fillId="0" borderId="37" xfId="0" applyBorder="1"/>
    <xf numFmtId="0" fontId="0" fillId="0" borderId="72" xfId="0" applyBorder="1"/>
    <xf numFmtId="0" fontId="109" fillId="43" borderId="18" xfId="0" applyFont="1" applyFill="1" applyBorder="1" applyAlignment="1">
      <alignment horizontal="center" vertical="center"/>
    </xf>
    <xf numFmtId="0" fontId="109" fillId="43" borderId="0" xfId="0" applyFont="1" applyFill="1" applyBorder="1" applyAlignment="1">
      <alignment horizontal="center" vertical="center"/>
    </xf>
    <xf numFmtId="0" fontId="109" fillId="43" borderId="62" xfId="0" applyFont="1" applyFill="1" applyBorder="1" applyAlignment="1">
      <alignment horizontal="center" vertical="center"/>
    </xf>
    <xf numFmtId="0" fontId="125" fillId="0" borderId="73" xfId="0" applyFont="1" applyFill="1" applyBorder="1" applyAlignment="1">
      <alignment horizontal="center" vertical="center"/>
    </xf>
    <xf numFmtId="0" fontId="125" fillId="0" borderId="74" xfId="0" applyFont="1" applyFill="1" applyBorder="1" applyAlignment="1">
      <alignment horizontal="center" vertical="center"/>
    </xf>
    <xf numFmtId="0" fontId="125" fillId="0" borderId="20" xfId="0" applyFont="1" applyFill="1" applyBorder="1" applyAlignment="1">
      <alignment horizontal="center" vertical="center"/>
    </xf>
    <xf numFmtId="14" fontId="72" fillId="0" borderId="73" xfId="0" applyNumberFormat="1" applyFont="1" applyFill="1" applyBorder="1" applyAlignment="1">
      <alignment horizontal="center" vertical="center"/>
    </xf>
    <xf numFmtId="14" fontId="72" fillId="0" borderId="74" xfId="0" applyNumberFormat="1" applyFont="1" applyFill="1" applyBorder="1" applyAlignment="1">
      <alignment horizontal="center" vertical="center"/>
    </xf>
    <xf numFmtId="14" fontId="72" fillId="0" borderId="20" xfId="0" applyNumberFormat="1" applyFont="1" applyFill="1" applyBorder="1" applyAlignment="1">
      <alignment horizontal="center" vertical="center"/>
    </xf>
    <xf numFmtId="0" fontId="72" fillId="0" borderId="75" xfId="0" applyFont="1" applyFill="1" applyBorder="1" applyAlignment="1">
      <alignment horizontal="left" vertical="center" wrapText="1"/>
    </xf>
    <xf numFmtId="0" fontId="72" fillId="0" borderId="40" xfId="0" applyFont="1" applyFill="1" applyBorder="1" applyAlignment="1">
      <alignment horizontal="left" vertical="center" wrapText="1"/>
    </xf>
    <xf numFmtId="0" fontId="72" fillId="0" borderId="76" xfId="0" applyFont="1" applyFill="1" applyBorder="1" applyAlignment="1">
      <alignment horizontal="left" vertical="center" wrapText="1"/>
    </xf>
    <xf numFmtId="0" fontId="72" fillId="0" borderId="39" xfId="0" applyFont="1" applyFill="1" applyBorder="1" applyAlignment="1">
      <alignment horizontal="left" vertical="center" wrapText="1"/>
    </xf>
    <xf numFmtId="0" fontId="72" fillId="0" borderId="0" xfId="0" applyFont="1" applyFill="1" applyBorder="1" applyAlignment="1">
      <alignment horizontal="left" vertical="center" wrapText="1"/>
    </xf>
    <xf numFmtId="0" fontId="72" fillId="0" borderId="58" xfId="0" applyFont="1" applyFill="1" applyBorder="1" applyAlignment="1">
      <alignment horizontal="left" vertical="center" wrapText="1"/>
    </xf>
    <xf numFmtId="0" fontId="72" fillId="0" borderId="21" xfId="0" applyFont="1" applyFill="1" applyBorder="1" applyAlignment="1">
      <alignment horizontal="left" vertical="center" wrapText="1"/>
    </xf>
    <xf numFmtId="0" fontId="72" fillId="0" borderId="31" xfId="0" applyFont="1" applyFill="1" applyBorder="1" applyAlignment="1">
      <alignment horizontal="left" vertical="center" wrapText="1"/>
    </xf>
    <xf numFmtId="0" fontId="72" fillId="0" borderId="59" xfId="0" applyFont="1" applyFill="1" applyBorder="1" applyAlignment="1">
      <alignment horizontal="left" vertical="center" wrapText="1"/>
    </xf>
    <xf numFmtId="0" fontId="82" fillId="43" borderId="0" xfId="0" applyFont="1" applyFill="1" applyBorder="1" applyAlignment="1">
      <alignment horizontal="left" vertical="center"/>
    </xf>
    <xf numFmtId="0" fontId="103" fillId="43" borderId="18" xfId="0" applyFont="1" applyFill="1" applyBorder="1" applyAlignment="1">
      <alignment horizontal="center" vertical="center" wrapText="1"/>
    </xf>
    <xf numFmtId="0" fontId="72" fillId="0" borderId="32" xfId="0" applyFont="1" applyFill="1" applyBorder="1" applyAlignment="1">
      <alignment horizontal="center" vertical="center" wrapText="1"/>
    </xf>
    <xf numFmtId="0" fontId="20" fillId="0" borderId="10" xfId="0" applyFont="1" applyFill="1" applyBorder="1" applyAlignment="1">
      <alignment horizontal="left" vertical="center"/>
    </xf>
    <xf numFmtId="0" fontId="6" fillId="0" borderId="10" xfId="40" applyFont="1" applyFill="1" applyBorder="1" applyAlignment="1">
      <alignment horizontal="left" vertical="center" wrapText="1"/>
    </xf>
    <xf numFmtId="0" fontId="78" fillId="43" borderId="38" xfId="0" applyFont="1" applyFill="1" applyBorder="1" applyAlignment="1">
      <alignment horizontal="center" wrapText="1"/>
    </xf>
  </cellXfs>
  <cellStyles count="5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Hipervínculo" xfId="34" builtinId="8"/>
    <cellStyle name="Input" xfId="35"/>
    <cellStyle name="Linked Cell" xfId="36"/>
    <cellStyle name="Millares 2" xfId="37"/>
    <cellStyle name="Neutral 2" xfId="38"/>
    <cellStyle name="Neutral 3" xfId="39"/>
    <cellStyle name="Normal" xfId="0" builtinId="0"/>
    <cellStyle name="Normal 2" xfId="40"/>
    <cellStyle name="Normal 2 2" xfId="41"/>
    <cellStyle name="Normal 3" xfId="42"/>
    <cellStyle name="Normal 4" xfId="43"/>
    <cellStyle name="Note" xfId="44"/>
    <cellStyle name="Output" xfId="45"/>
    <cellStyle name="Title" xfId="46"/>
    <cellStyle name="Total 2" xfId="47"/>
    <cellStyle name="Total 3" xfId="48"/>
    <cellStyle name="Warning Text" xfId="49"/>
  </cellStyles>
  <dxfs count="18">
    <dxf>
      <font>
        <color theme="1"/>
      </font>
      <fill>
        <patternFill>
          <bgColor theme="0"/>
        </patternFill>
      </fill>
      <border>
        <left style="thin">
          <color theme="0" tint="-0.499984740745262"/>
        </left>
        <right style="thin">
          <color theme="0" tint="-0.499984740745262"/>
        </right>
        <top style="thin">
          <color theme="0" tint="-0.499984740745262"/>
        </top>
        <bottom style="thin">
          <color theme="0" tint="-0.499984740745262"/>
        </bottom>
      </border>
    </dxf>
    <dxf>
      <font>
        <color theme="0"/>
      </font>
      <fill>
        <patternFill>
          <bgColor rgb="FF339966"/>
        </patternFill>
      </fill>
      <border>
        <left style="thin">
          <color theme="0" tint="-0.499984740745262"/>
        </left>
        <right style="thin">
          <color theme="0" tint="-0.499984740745262"/>
        </right>
        <top style="thin">
          <color theme="0" tint="-0.499984740745262"/>
        </top>
        <bottom style="thin">
          <color theme="0" tint="-0.499984740745262"/>
        </bottom>
      </border>
    </dxf>
    <dxf>
      <font>
        <color theme="0"/>
      </font>
      <fill>
        <patternFill>
          <bgColor rgb="FF339966"/>
        </patternFill>
      </fill>
      <border>
        <left style="thin">
          <color theme="0" tint="-0.499984740745262"/>
        </left>
        <right style="thin">
          <color theme="0" tint="-0.499984740745262"/>
        </right>
        <top style="thin">
          <color theme="0" tint="-0.499984740745262"/>
        </top>
        <bottom style="thin">
          <color theme="0" tint="-0.499984740745262"/>
        </bottom>
      </border>
    </dxf>
    <dxf>
      <font>
        <color auto="1"/>
      </font>
      <fill>
        <patternFill>
          <bgColor theme="0"/>
        </patternFill>
      </fill>
      <border>
        <left style="thin">
          <color theme="0" tint="-0.499984740745262"/>
        </left>
        <right style="thin">
          <color theme="0" tint="-0.499984740745262"/>
        </right>
        <top style="thin">
          <color theme="0" tint="-0.499984740745262"/>
        </top>
        <bottom style="thin">
          <color theme="0" tint="-0.499984740745262"/>
        </bottom>
      </border>
    </dxf>
    <dxf>
      <font>
        <color auto="1"/>
      </font>
      <fill>
        <patternFill>
          <bgColor theme="0"/>
        </patternFill>
      </fill>
      <border>
        <left style="thin">
          <color theme="0" tint="-0.499984740745262"/>
        </left>
        <right style="thin">
          <color theme="0" tint="-0.499984740745262"/>
        </right>
        <top style="thin">
          <color theme="0" tint="-0.499984740745262"/>
        </top>
        <bottom style="thin">
          <color theme="0" tint="-0.499984740745262"/>
        </bottom>
      </border>
    </dxf>
    <dxf>
      <font>
        <color theme="0"/>
      </font>
      <fill>
        <patternFill>
          <bgColor rgb="FF339966"/>
        </patternFill>
      </fill>
      <border>
        <left style="thin">
          <color theme="0"/>
        </left>
        <right style="thin">
          <color theme="0"/>
        </right>
        <top style="thin">
          <color theme="0"/>
        </top>
        <bottom style="thin">
          <color theme="0"/>
        </bottom>
      </border>
    </dxf>
    <dxf>
      <fill>
        <patternFill patternType="none">
          <bgColor indexed="65"/>
        </patternFill>
      </fill>
      <border>
        <left style="thin">
          <color theme="0" tint="-0.499984740745262"/>
        </left>
        <right style="thin">
          <color theme="0" tint="-0.499984740745262"/>
        </right>
        <top style="thin">
          <color theme="0" tint="-0.499984740745262"/>
        </top>
        <bottom style="thin">
          <color theme="0" tint="-0.499984740745262"/>
        </bottom>
      </border>
    </dxf>
    <dxf>
      <fill>
        <patternFill patternType="none">
          <bgColor indexed="65"/>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theme="0"/>
        </patternFill>
      </fill>
      <border>
        <left style="thin">
          <color theme="0" tint="-0.499984740745262"/>
        </left>
        <right style="thin">
          <color theme="0" tint="-0.499984740745262"/>
        </right>
        <top style="thin">
          <color theme="0" tint="-0.499984740745262"/>
        </top>
        <bottom style="thin">
          <color theme="0" tint="-0.499984740745262"/>
        </bottom>
      </border>
    </dxf>
    <dxf>
      <font>
        <b/>
        <i val="0"/>
        <color theme="0"/>
      </font>
      <fill>
        <patternFill>
          <bgColor rgb="FF339966"/>
        </patternFill>
      </fill>
      <border>
        <left style="thin">
          <color theme="0"/>
        </left>
        <right style="thin">
          <color theme="0"/>
        </right>
        <top style="thin">
          <color theme="0"/>
        </top>
        <bottom style="thin">
          <color theme="0"/>
        </bottom>
      </border>
    </dxf>
    <dxf>
      <font>
        <color theme="0"/>
      </font>
      <fill>
        <patternFill>
          <bgColor rgb="FF339966"/>
        </patternFill>
      </fill>
    </dxf>
    <dxf>
      <font>
        <color auto="1"/>
      </font>
    </dxf>
    <dxf>
      <fill>
        <patternFill>
          <bgColor theme="6" tint="0.39994506668294322"/>
        </patternFill>
      </fill>
      <border>
        <left style="thin">
          <color theme="0" tint="-0.499984740745262"/>
        </left>
        <right style="thin">
          <color theme="0" tint="-0.499984740745262"/>
        </right>
        <top style="thin">
          <color theme="0" tint="-0.499984740745262"/>
        </top>
        <bottom style="thin">
          <color theme="0" tint="-0.499984740745262"/>
        </bottom>
      </border>
    </dxf>
    <dxf>
      <fill>
        <patternFill patternType="none">
          <bgColor indexed="65"/>
        </patternFill>
      </fill>
      <border>
        <left style="thin">
          <color theme="0" tint="-0.499984740745262"/>
        </left>
        <right style="thin">
          <color theme="0" tint="-0.499984740745262"/>
        </right>
        <top style="thin">
          <color theme="0" tint="-0.499984740745262"/>
        </top>
        <bottom style="thin">
          <color theme="0" tint="-0.499984740745262"/>
        </bottom>
      </border>
    </dxf>
    <dxf>
      <font>
        <color rgb="FFFF0000"/>
      </font>
    </dxf>
    <dxf>
      <font>
        <color rgb="FFFF0000"/>
      </font>
    </dxf>
    <dxf>
      <font>
        <color rgb="FFFF0000"/>
      </font>
    </dxf>
    <dxf>
      <font>
        <color rgb="FFFF0000"/>
      </font>
    </dxf>
  </dxfs>
  <tableStyles count="0" defaultTableStyle="TableStyleMedium2" defaultPivotStyle="PivotStyleLight16"/>
  <colors>
    <mruColors>
      <color rgb="FFCCFFCC"/>
      <color rgb="FF339966"/>
      <color rgb="FF99FFCC"/>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1000" b="0" i="0" u="none" strike="noStrike" baseline="0">
                <a:solidFill>
                  <a:srgbClr val="000000"/>
                </a:solidFill>
                <a:latin typeface="Calibri"/>
                <a:ea typeface="Calibri"/>
                <a:cs typeface="Calibri"/>
              </a:defRPr>
            </a:pPr>
            <a:r>
              <a:rPr lang="es-ES" sz="1600" b="1" i="0" u="none" strike="noStrike" baseline="0">
                <a:solidFill>
                  <a:srgbClr val="000000"/>
                </a:solidFill>
                <a:latin typeface="Calibri"/>
              </a:rPr>
              <a:t>Absorciones estimadas a los 30 años </a:t>
            </a:r>
          </a:p>
          <a:p>
            <a:pPr>
              <a:defRPr sz="1000" b="0" i="0" u="none" strike="noStrike" baseline="0">
                <a:solidFill>
                  <a:srgbClr val="000000"/>
                </a:solidFill>
                <a:latin typeface="Calibri"/>
                <a:ea typeface="Calibri"/>
                <a:cs typeface="Calibri"/>
              </a:defRPr>
            </a:pPr>
            <a:r>
              <a:rPr lang="es-ES" sz="1600" b="1" i="0" u="none" strike="noStrike" baseline="0">
                <a:solidFill>
                  <a:srgbClr val="000000"/>
                </a:solidFill>
                <a:latin typeface="Calibri"/>
              </a:rPr>
              <a:t>(t CO</a:t>
            </a:r>
            <a:r>
              <a:rPr lang="es-ES" sz="1600" b="1" i="0" u="none" strike="noStrike" baseline="-25000">
                <a:solidFill>
                  <a:srgbClr val="000000"/>
                </a:solidFill>
                <a:latin typeface="Calibri"/>
              </a:rPr>
              <a:t>2</a:t>
            </a:r>
            <a:r>
              <a:rPr lang="es-ES" sz="1600" b="1" i="0" u="none" strike="noStrike" baseline="0">
                <a:solidFill>
                  <a:srgbClr val="000000"/>
                </a:solidFill>
                <a:latin typeface="Calibri"/>
              </a:rPr>
              <a:t>/pie)</a:t>
            </a:r>
          </a:p>
        </c:rich>
      </c:tx>
      <c:layout/>
      <c:overlay val="0"/>
      <c:spPr>
        <a:noFill/>
        <a:ln w="25400">
          <a:noFill/>
        </a:ln>
      </c:spPr>
    </c:title>
    <c:autoTitleDeleted val="0"/>
    <c:plotArea>
      <c:layout>
        <c:manualLayout>
          <c:layoutTarget val="inner"/>
          <c:xMode val="edge"/>
          <c:yMode val="edge"/>
          <c:x val="0.49553060073098337"/>
          <c:y val="4.2665040004327817E-2"/>
          <c:w val="0.44752235877057422"/>
          <c:h val="0.93663157776919681"/>
        </c:manualLayout>
      </c:layout>
      <c:barChart>
        <c:barDir val="bar"/>
        <c:grouping val="clustered"/>
        <c:varyColors val="0"/>
        <c:ser>
          <c:idx val="0"/>
          <c:order val="0"/>
          <c:spPr>
            <a:solidFill>
              <a:srgbClr val="00B050"/>
            </a:solidFill>
          </c:spPr>
          <c:invertIfNegative val="0"/>
          <c:cat>
            <c:strRef>
              <c:f>'4. Factores de absorción'!$C$94:$C$175</c:f>
              <c:strCache>
                <c:ptCount val="82"/>
                <c:pt idx="0">
                  <c:v>Chamaecyparis lawsoniana</c:v>
                </c:pt>
                <c:pt idx="1">
                  <c:v>Juniperus oxycedrus, J. communis</c:v>
                </c:pt>
                <c:pt idx="2">
                  <c:v>Thuja spp.</c:v>
                </c:pt>
                <c:pt idx="3">
                  <c:v>Juniperus thurifera</c:v>
                </c:pt>
                <c:pt idx="4">
                  <c:v>Fagus sylvatica</c:v>
                </c:pt>
                <c:pt idx="5">
                  <c:v>Juniperus phoenicea</c:v>
                </c:pt>
                <c:pt idx="6">
                  <c:v>Pinus nigra (Resto)</c:v>
                </c:pt>
                <c:pt idx="7">
                  <c:v>Pinus pinaster (Resto)</c:v>
                </c:pt>
                <c:pt idx="8">
                  <c:v>Pinus sylvestris Sistema Ibérico</c:v>
                </c:pt>
                <c:pt idx="9">
                  <c:v>Ilex aquifolium</c:v>
                </c:pt>
                <c:pt idx="10">
                  <c:v>Pinus nigra Sistema Ibérico</c:v>
                </c:pt>
                <c:pt idx="11">
                  <c:v>Ilex canariensis</c:v>
                </c:pt>
                <c:pt idx="12">
                  <c:v>Cupressus arizonica</c:v>
                </c:pt>
                <c:pt idx="13">
                  <c:v>Cupressus macrocarpa</c:v>
                </c:pt>
                <c:pt idx="14">
                  <c:v>Cupressus sempervirens</c:v>
                </c:pt>
                <c:pt idx="15">
                  <c:v>Pinus sylvestris (Resto)</c:v>
                </c:pt>
                <c:pt idx="16">
                  <c:v>Taxus baccata</c:v>
                </c:pt>
                <c:pt idx="17">
                  <c:v>Pinus sylvestris Sistema Central</c:v>
                </c:pt>
                <c:pt idx="18">
                  <c:v>Pinus sylvestris Pirineos</c:v>
                </c:pt>
                <c:pt idx="19">
                  <c:v>Quercus ilex</c:v>
                </c:pt>
                <c:pt idx="20">
                  <c:v>Tamarix spp.</c:v>
                </c:pt>
                <c:pt idx="21">
                  <c:v>Tetraclinis articulata</c:v>
                </c:pt>
                <c:pt idx="22">
                  <c:v>Pinus halepensis</c:v>
                </c:pt>
                <c:pt idx="23">
                  <c:v>Olea europaea</c:v>
                </c:pt>
                <c:pt idx="24">
                  <c:v>Tilia spp.</c:v>
                </c:pt>
                <c:pt idx="25">
                  <c:v>Phillyrea latifolia</c:v>
                </c:pt>
                <c:pt idx="26">
                  <c:v>Arbutus unedo</c:v>
                </c:pt>
                <c:pt idx="27">
                  <c:v>Pinus uncinata</c:v>
                </c:pt>
                <c:pt idx="28">
                  <c:v>Ceratonia siliqua</c:v>
                </c:pt>
                <c:pt idx="29">
                  <c:v>Betula spp.</c:v>
                </c:pt>
                <c:pt idx="30">
                  <c:v>Carpinus betulus</c:v>
                </c:pt>
                <c:pt idx="31">
                  <c:v>Abies alba</c:v>
                </c:pt>
                <c:pt idx="32">
                  <c:v>Quercus faginea</c:v>
                </c:pt>
                <c:pt idx="33">
                  <c:v>Alnus spp.</c:v>
                </c:pt>
                <c:pt idx="34">
                  <c:v>Quercus suber</c:v>
                </c:pt>
                <c:pt idx="35">
                  <c:v>Corylus avellana</c:v>
                </c:pt>
                <c:pt idx="36">
                  <c:v>Quercus canariensis</c:v>
                </c:pt>
                <c:pt idx="37">
                  <c:v>Pinus canariensis</c:v>
                </c:pt>
                <c:pt idx="38">
                  <c:v>Quercus pubescens</c:v>
                </c:pt>
                <c:pt idx="39">
                  <c:v>Quercus pyrenaica</c:v>
                </c:pt>
                <c:pt idx="40">
                  <c:v>Pinus pinea</c:v>
                </c:pt>
                <c:pt idx="41">
                  <c:v>Quercus petraea</c:v>
                </c:pt>
                <c:pt idx="42">
                  <c:v>Pinus pinaster ssp. mesogeensis Sistema Central</c:v>
                </c:pt>
                <c:pt idx="43">
                  <c:v>Fraxinus spp.</c:v>
                </c:pt>
                <c:pt idx="44">
                  <c:v>Castanea sativa</c:v>
                </c:pt>
                <c:pt idx="45">
                  <c:v>Juglans regia</c:v>
                </c:pt>
                <c:pt idx="46">
                  <c:v>Robinia pseudacacia</c:v>
                </c:pt>
                <c:pt idx="47">
                  <c:v>Quercus robur</c:v>
                </c:pt>
                <c:pt idx="48">
                  <c:v>Amelanchier ovalis</c:v>
                </c:pt>
                <c:pt idx="49">
                  <c:v>Cornus sanguinea</c:v>
                </c:pt>
                <c:pt idx="50">
                  <c:v>Crataegus spp.</c:v>
                </c:pt>
                <c:pt idx="51">
                  <c:v>Erica arborea (Canarias)</c:v>
                </c:pt>
                <c:pt idx="52">
                  <c:v>Laurus azorica</c:v>
                </c:pt>
                <c:pt idx="53">
                  <c:v>Laurus nobilis</c:v>
                </c:pt>
                <c:pt idx="54">
                  <c:v>Myrica faya</c:v>
                </c:pt>
                <c:pt idx="55">
                  <c:v>Myrtus communis</c:v>
                </c:pt>
                <c:pt idx="56">
                  <c:v>Pistacia terebinthus</c:v>
                </c:pt>
                <c:pt idx="57">
                  <c:v>Rhamnus alaternus</c:v>
                </c:pt>
                <c:pt idx="58">
                  <c:v>Quercus rubra</c:v>
                </c:pt>
                <c:pt idx="59">
                  <c:v>Acer spp.</c:v>
                </c:pt>
                <c:pt idx="60">
                  <c:v>Malus sylvestris</c:v>
                </c:pt>
                <c:pt idx="61">
                  <c:v>Prunus spp.</c:v>
                </c:pt>
                <c:pt idx="62">
                  <c:v>Pyrus spp.</c:v>
                </c:pt>
                <c:pt idx="63">
                  <c:v>Sorbus spp.</c:v>
                </c:pt>
                <c:pt idx="64">
                  <c:v>Ulmus spp.</c:v>
                </c:pt>
                <c:pt idx="65">
                  <c:v>Abies pinsapo</c:v>
                </c:pt>
                <c:pt idx="66">
                  <c:v>Larix spp.</c:v>
                </c:pt>
                <c:pt idx="67">
                  <c:v>Pinus pinaster ssp. atlantica Zona Norte interior</c:v>
                </c:pt>
                <c:pt idx="68">
                  <c:v>Platanus hispanica</c:v>
                </c:pt>
                <c:pt idx="69">
                  <c:v>Populus alba</c:v>
                </c:pt>
                <c:pt idx="70">
                  <c:v>Pinus pinaster ssp. atlantica Zona Norte costera</c:v>
                </c:pt>
                <c:pt idx="71">
                  <c:v>Phoenix spp.</c:v>
                </c:pt>
                <c:pt idx="72">
                  <c:v>Salix spp.</c:v>
                </c:pt>
                <c:pt idx="73">
                  <c:v>Celtis australis</c:v>
                </c:pt>
                <c:pt idx="74">
                  <c:v>Populus nigra</c:v>
                </c:pt>
                <c:pt idx="75">
                  <c:v>Pinus radiata</c:v>
                </c:pt>
                <c:pt idx="76">
                  <c:v>Populus x canadensis</c:v>
                </c:pt>
                <c:pt idx="77">
                  <c:v>Cedrus atlantica</c:v>
                </c:pt>
                <c:pt idx="78">
                  <c:v>Picea abies</c:v>
                </c:pt>
                <c:pt idx="79">
                  <c:v>Pseudotsuga menziesii</c:v>
                </c:pt>
                <c:pt idx="80">
                  <c:v>Eucalyptus camaldulensis</c:v>
                </c:pt>
                <c:pt idx="81">
                  <c:v>Eucalyptus globulus</c:v>
                </c:pt>
              </c:strCache>
            </c:strRef>
          </c:cat>
          <c:val>
            <c:numRef>
              <c:f>'4. Factores de absorción'!$D$94:$D$175</c:f>
              <c:numCache>
                <c:formatCode>0.00</c:formatCode>
                <c:ptCount val="82"/>
                <c:pt idx="0">
                  <c:v>1.0935304444879886E-2</c:v>
                </c:pt>
                <c:pt idx="1">
                  <c:v>1.7077131653169285E-2</c:v>
                </c:pt>
                <c:pt idx="2">
                  <c:v>1.7077131653169285E-2</c:v>
                </c:pt>
                <c:pt idx="3">
                  <c:v>2.0913561984023939E-2</c:v>
                </c:pt>
                <c:pt idx="4">
                  <c:v>2.720900416725448E-2</c:v>
                </c:pt>
                <c:pt idx="5">
                  <c:v>2.8283119831621666E-2</c:v>
                </c:pt>
                <c:pt idx="6">
                  <c:v>3.2591421905546439E-2</c:v>
                </c:pt>
                <c:pt idx="7">
                  <c:v>3.3846135427474382E-2</c:v>
                </c:pt>
                <c:pt idx="8">
                  <c:v>4.7458932459961474E-2</c:v>
                </c:pt>
                <c:pt idx="9">
                  <c:v>4.7807023316820692E-2</c:v>
                </c:pt>
                <c:pt idx="10">
                  <c:v>5.1236545694955449E-2</c:v>
                </c:pt>
                <c:pt idx="11">
                  <c:v>5.3843334831520297E-2</c:v>
                </c:pt>
                <c:pt idx="12">
                  <c:v>5.797884055607172E-2</c:v>
                </c:pt>
                <c:pt idx="13">
                  <c:v>5.797884055607172E-2</c:v>
                </c:pt>
                <c:pt idx="14">
                  <c:v>5.797884055607172E-2</c:v>
                </c:pt>
                <c:pt idx="15">
                  <c:v>5.797884055607172E-2</c:v>
                </c:pt>
                <c:pt idx="16">
                  <c:v>5.797884055607172E-2</c:v>
                </c:pt>
                <c:pt idx="17">
                  <c:v>6.102444982344217E-2</c:v>
                </c:pt>
                <c:pt idx="18">
                  <c:v>6.545313938481151E-2</c:v>
                </c:pt>
                <c:pt idx="19">
                  <c:v>7.2135572369969952E-2</c:v>
                </c:pt>
                <c:pt idx="20">
                  <c:v>7.9941869385017642E-2</c:v>
                </c:pt>
                <c:pt idx="21">
                  <c:v>7.9941869385017642E-2</c:v>
                </c:pt>
                <c:pt idx="22">
                  <c:v>8.21892270440258E-2</c:v>
                </c:pt>
                <c:pt idx="23">
                  <c:v>8.4081899478263639E-2</c:v>
                </c:pt>
                <c:pt idx="24">
                  <c:v>8.7489025596783121E-2</c:v>
                </c:pt>
                <c:pt idx="25">
                  <c:v>8.9359935740666363E-2</c:v>
                </c:pt>
                <c:pt idx="26">
                  <c:v>8.9406775968548208E-2</c:v>
                </c:pt>
                <c:pt idx="27">
                  <c:v>9.0140403287118462E-2</c:v>
                </c:pt>
                <c:pt idx="28">
                  <c:v>9.2940687673763067E-2</c:v>
                </c:pt>
                <c:pt idx="29">
                  <c:v>9.3417343455077906E-2</c:v>
                </c:pt>
                <c:pt idx="30">
                  <c:v>9.3417343455077906E-2</c:v>
                </c:pt>
                <c:pt idx="31">
                  <c:v>9.5317224174204004E-2</c:v>
                </c:pt>
                <c:pt idx="32">
                  <c:v>9.7556673966789992E-2</c:v>
                </c:pt>
                <c:pt idx="33">
                  <c:v>9.7156739459593647E-2</c:v>
                </c:pt>
                <c:pt idx="34">
                  <c:v>0.11116673753766791</c:v>
                </c:pt>
                <c:pt idx="35">
                  <c:v>0.11752830065449504</c:v>
                </c:pt>
                <c:pt idx="36">
                  <c:v>0.12721465554673028</c:v>
                </c:pt>
                <c:pt idx="37">
                  <c:v>0.13534900640836928</c:v>
                </c:pt>
                <c:pt idx="38">
                  <c:v>0.14755793900611491</c:v>
                </c:pt>
                <c:pt idx="39">
                  <c:v>0.14793193211471187</c:v>
                </c:pt>
                <c:pt idx="40">
                  <c:v>0.16760700183877539</c:v>
                </c:pt>
                <c:pt idx="41">
                  <c:v>0.17900063987112114</c:v>
                </c:pt>
                <c:pt idx="42">
                  <c:v>0.17974273530361798</c:v>
                </c:pt>
                <c:pt idx="43">
                  <c:v>0.18470565168801564</c:v>
                </c:pt>
                <c:pt idx="44">
                  <c:v>0.18617723092774471</c:v>
                </c:pt>
                <c:pt idx="45">
                  <c:v>0.18617723092774471</c:v>
                </c:pt>
                <c:pt idx="46">
                  <c:v>0.19114553741141802</c:v>
                </c:pt>
                <c:pt idx="47">
                  <c:v>0.1924696677622609</c:v>
                </c:pt>
                <c:pt idx="48">
                  <c:v>0.20516585167863827</c:v>
                </c:pt>
                <c:pt idx="49">
                  <c:v>0.20516585167863827</c:v>
                </c:pt>
                <c:pt idx="50">
                  <c:v>0.20516585167863827</c:v>
                </c:pt>
                <c:pt idx="51">
                  <c:v>0.20516585167863827</c:v>
                </c:pt>
                <c:pt idx="52">
                  <c:v>0.20516585167863827</c:v>
                </c:pt>
                <c:pt idx="53">
                  <c:v>0.20516585167863827</c:v>
                </c:pt>
                <c:pt idx="54">
                  <c:v>0.20516585167863827</c:v>
                </c:pt>
                <c:pt idx="55">
                  <c:v>0.20516585167863827</c:v>
                </c:pt>
                <c:pt idx="56">
                  <c:v>0.20516585167863827</c:v>
                </c:pt>
                <c:pt idx="57">
                  <c:v>0.20516585167863827</c:v>
                </c:pt>
                <c:pt idx="58">
                  <c:v>0.22154057778443589</c:v>
                </c:pt>
                <c:pt idx="59">
                  <c:v>0.22463304195351205</c:v>
                </c:pt>
                <c:pt idx="60">
                  <c:v>0.22463304195351205</c:v>
                </c:pt>
                <c:pt idx="61">
                  <c:v>0.22463304195351205</c:v>
                </c:pt>
                <c:pt idx="62">
                  <c:v>0.22463304195351205</c:v>
                </c:pt>
                <c:pt idx="63">
                  <c:v>0.24771815222444837</c:v>
                </c:pt>
                <c:pt idx="64">
                  <c:v>0.27049440000000002</c:v>
                </c:pt>
                <c:pt idx="65">
                  <c:v>0.32908645627187133</c:v>
                </c:pt>
                <c:pt idx="66">
                  <c:v>0.5157364972959686</c:v>
                </c:pt>
                <c:pt idx="67">
                  <c:v>0.58249493630952376</c:v>
                </c:pt>
                <c:pt idx="68">
                  <c:v>0.67165279962424007</c:v>
                </c:pt>
                <c:pt idx="69">
                  <c:v>0.67165279962424007</c:v>
                </c:pt>
                <c:pt idx="70">
                  <c:v>0.69121584652967782</c:v>
                </c:pt>
                <c:pt idx="71">
                  <c:v>0.89565940633103525</c:v>
                </c:pt>
                <c:pt idx="72">
                  <c:v>0.89565940633103525</c:v>
                </c:pt>
                <c:pt idx="73">
                  <c:v>1.0064449533150317</c:v>
                </c:pt>
                <c:pt idx="74">
                  <c:v>1.0064449533150317</c:v>
                </c:pt>
                <c:pt idx="75">
                  <c:v>1.1651157738742044</c:v>
                </c:pt>
                <c:pt idx="76">
                  <c:v>1.1774018251252529</c:v>
                </c:pt>
                <c:pt idx="77">
                  <c:v>1.2964681323565146</c:v>
                </c:pt>
                <c:pt idx="78">
                  <c:v>1.2964681323565146</c:v>
                </c:pt>
                <c:pt idx="79">
                  <c:v>1.2964681323565146</c:v>
                </c:pt>
                <c:pt idx="80">
                  <c:v>1.5658280222622489</c:v>
                </c:pt>
                <c:pt idx="81">
                  <c:v>2.0361298403169146</c:v>
                </c:pt>
              </c:numCache>
            </c:numRef>
          </c:val>
        </c:ser>
        <c:dLbls>
          <c:showLegendKey val="0"/>
          <c:showVal val="0"/>
          <c:showCatName val="0"/>
          <c:showSerName val="0"/>
          <c:showPercent val="0"/>
          <c:showBubbleSize val="0"/>
        </c:dLbls>
        <c:gapWidth val="150"/>
        <c:axId val="297601024"/>
        <c:axId val="470383936"/>
      </c:barChart>
      <c:catAx>
        <c:axId val="297601024"/>
        <c:scaling>
          <c:orientation val="minMax"/>
        </c:scaling>
        <c:delete val="0"/>
        <c:axPos val="l"/>
        <c:numFmt formatCode="General" sourceLinked="1"/>
        <c:majorTickMark val="out"/>
        <c:minorTickMark val="none"/>
        <c:tickLblPos val="nextTo"/>
        <c:txPr>
          <a:bodyPr rot="0" vert="horz"/>
          <a:lstStyle/>
          <a:p>
            <a:pPr>
              <a:defRPr sz="900" b="0" i="1" u="none" strike="noStrike" baseline="0">
                <a:solidFill>
                  <a:srgbClr val="000000"/>
                </a:solidFill>
                <a:latin typeface="Calibri"/>
                <a:ea typeface="Calibri"/>
                <a:cs typeface="Calibri"/>
              </a:defRPr>
            </a:pPr>
            <a:endParaRPr lang="es-ES"/>
          </a:p>
        </c:txPr>
        <c:crossAx val="470383936"/>
        <c:crosses val="autoZero"/>
        <c:auto val="1"/>
        <c:lblAlgn val="ctr"/>
        <c:lblOffset val="100"/>
        <c:noMultiLvlLbl val="0"/>
      </c:catAx>
      <c:valAx>
        <c:axId val="470383936"/>
        <c:scaling>
          <c:orientation val="minMax"/>
          <c:max val="2.1"/>
          <c:min val="0"/>
        </c:scaling>
        <c:delete val="0"/>
        <c:axPos val="b"/>
        <c:majorGridlines/>
        <c:numFmt formatCode="0.00" sourceLinked="0"/>
        <c:majorTickMark val="out"/>
        <c:minorTickMark val="none"/>
        <c:tickLblPos val="nextTo"/>
        <c:txPr>
          <a:bodyPr rot="0" vert="horz"/>
          <a:lstStyle/>
          <a:p>
            <a:pPr>
              <a:defRPr sz="1000" b="0" i="0" u="none" strike="noStrike" baseline="0">
                <a:solidFill>
                  <a:srgbClr val="000000"/>
                </a:solidFill>
                <a:latin typeface="Arial Narrow" panose="020B0606020202030204" pitchFamily="34" charset="0"/>
                <a:ea typeface="Calibri"/>
                <a:cs typeface="Calibri"/>
              </a:defRPr>
            </a:pPr>
            <a:endParaRPr lang="es-ES"/>
          </a:p>
        </c:txPr>
        <c:crossAx val="297601024"/>
        <c:crosses val="autoZero"/>
        <c:crossBetween val="between"/>
        <c:majorUnit val="0.30000000000000004"/>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560689683529655E-2"/>
          <c:y val="1.0883678056724463E-2"/>
          <c:w val="0.66194444306804923"/>
          <c:h val="0.95259407243162542"/>
        </c:manualLayout>
      </c:layout>
      <c:lineChart>
        <c:grouping val="standard"/>
        <c:varyColors val="0"/>
        <c:ser>
          <c:idx val="0"/>
          <c:order val="0"/>
          <c:tx>
            <c:strRef>
              <c:f>'Selección final metodología'!$A$4</c:f>
              <c:strCache>
                <c:ptCount val="1"/>
                <c:pt idx="0">
                  <c:v>Abies alba</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metodología'!$B$4:$F$4</c:f>
              <c:numCache>
                <c:formatCode>0.000</c:formatCode>
                <c:ptCount val="5"/>
                <c:pt idx="0">
                  <c:v>6.3544816116135994E-2</c:v>
                </c:pt>
                <c:pt idx="1">
                  <c:v>7.943102014517002E-2</c:v>
                </c:pt>
                <c:pt idx="2">
                  <c:v>9.5317224174204004E-2</c:v>
                </c:pt>
                <c:pt idx="3">
                  <c:v>0.111203428203238</c:v>
                </c:pt>
                <c:pt idx="4">
                  <c:v>0.12708963223227199</c:v>
                </c:pt>
              </c:numCache>
            </c:numRef>
          </c:val>
          <c:smooth val="0"/>
        </c:ser>
        <c:ser>
          <c:idx val="1"/>
          <c:order val="1"/>
          <c:tx>
            <c:strRef>
              <c:f>'Selección final metodología'!$A$5</c:f>
              <c:strCache>
                <c:ptCount val="1"/>
                <c:pt idx="0">
                  <c:v>Abies pinsapo</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metodología'!$B$5:$F$5</c:f>
              <c:numCache>
                <c:formatCode>0.000</c:formatCode>
                <c:ptCount val="5"/>
                <c:pt idx="0">
                  <c:v>0.21939097084791426</c:v>
                </c:pt>
                <c:pt idx="1">
                  <c:v>0.27423871355989282</c:v>
                </c:pt>
                <c:pt idx="2">
                  <c:v>0.32908645627187133</c:v>
                </c:pt>
                <c:pt idx="3">
                  <c:v>0.38393419898384989</c:v>
                </c:pt>
                <c:pt idx="4">
                  <c:v>0.43878194169582851</c:v>
                </c:pt>
              </c:numCache>
            </c:numRef>
          </c:val>
          <c:smooth val="0"/>
        </c:ser>
        <c:ser>
          <c:idx val="2"/>
          <c:order val="2"/>
          <c:tx>
            <c:strRef>
              <c:f>'Selección final metodología'!#REF!</c:f>
              <c:strCache>
                <c:ptCount val="1"/>
                <c:pt idx="0">
                  <c:v>#REF!</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metodología'!#REF!</c:f>
              <c:numCache>
                <c:formatCode>General</c:formatCode>
                <c:ptCount val="1"/>
                <c:pt idx="0">
                  <c:v>1</c:v>
                </c:pt>
              </c:numCache>
            </c:numRef>
          </c:val>
          <c:smooth val="0"/>
        </c:ser>
        <c:ser>
          <c:idx val="3"/>
          <c:order val="3"/>
          <c:tx>
            <c:strRef>
              <c:f>'Selección final metodología'!$A$6</c:f>
              <c:strCache>
                <c:ptCount val="1"/>
                <c:pt idx="0">
                  <c:v>Acer spp.</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metodología'!$B$6:$F$6</c:f>
              <c:numCache>
                <c:formatCode>0.000</c:formatCode>
                <c:ptCount val="5"/>
                <c:pt idx="0">
                  <c:v>0.14975536130234138</c:v>
                </c:pt>
                <c:pt idx="1">
                  <c:v>0.18719420162792669</c:v>
                </c:pt>
                <c:pt idx="2">
                  <c:v>0.22463304195351205</c:v>
                </c:pt>
                <c:pt idx="3">
                  <c:v>0.26207188227909739</c:v>
                </c:pt>
                <c:pt idx="4">
                  <c:v>0.29951072260468276</c:v>
                </c:pt>
              </c:numCache>
            </c:numRef>
          </c:val>
          <c:smooth val="0"/>
        </c:ser>
        <c:ser>
          <c:idx val="4"/>
          <c:order val="4"/>
          <c:tx>
            <c:strRef>
              <c:f>'Selección final metodología'!#REF!</c:f>
              <c:strCache>
                <c:ptCount val="1"/>
                <c:pt idx="0">
                  <c:v>#REF!</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metodología'!#REF!</c:f>
              <c:numCache>
                <c:formatCode>General</c:formatCode>
                <c:ptCount val="1"/>
                <c:pt idx="0">
                  <c:v>1</c:v>
                </c:pt>
              </c:numCache>
            </c:numRef>
          </c:val>
          <c:smooth val="0"/>
        </c:ser>
        <c:ser>
          <c:idx val="5"/>
          <c:order val="5"/>
          <c:tx>
            <c:strRef>
              <c:f>'Selección final metodología'!$A$7</c:f>
              <c:strCache>
                <c:ptCount val="1"/>
                <c:pt idx="0">
                  <c:v>Alnus spp.</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metodología'!$B$7:$F$7</c:f>
              <c:numCache>
                <c:formatCode>0.000</c:formatCode>
                <c:ptCount val="5"/>
                <c:pt idx="0">
                  <c:v>6.4771159639729098E-2</c:v>
                </c:pt>
                <c:pt idx="1">
                  <c:v>8.0963949549661379E-2</c:v>
                </c:pt>
                <c:pt idx="2">
                  <c:v>9.7156739459593647E-2</c:v>
                </c:pt>
                <c:pt idx="3">
                  <c:v>0.11334952936952593</c:v>
                </c:pt>
                <c:pt idx="4">
                  <c:v>0.1295423192794582</c:v>
                </c:pt>
              </c:numCache>
            </c:numRef>
          </c:val>
          <c:smooth val="0"/>
        </c:ser>
        <c:ser>
          <c:idx val="6"/>
          <c:order val="6"/>
          <c:tx>
            <c:strRef>
              <c:f>'Selección final metodología'!$A$8</c:f>
              <c:strCache>
                <c:ptCount val="1"/>
                <c:pt idx="0">
                  <c:v>Amelanchier ovalis</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metodología'!$B$8:$F$8</c:f>
              <c:numCache>
                <c:formatCode>0.000</c:formatCode>
                <c:ptCount val="5"/>
                <c:pt idx="0">
                  <c:v>4.2905184381875593E-2</c:v>
                </c:pt>
                <c:pt idx="1">
                  <c:v>0.11203292161465764</c:v>
                </c:pt>
                <c:pt idx="2">
                  <c:v>0.20516585167863827</c:v>
                </c:pt>
                <c:pt idx="3">
                  <c:v>0.34790001540782683</c:v>
                </c:pt>
                <c:pt idx="4">
                  <c:v>0.39760001760894487</c:v>
                </c:pt>
              </c:numCache>
            </c:numRef>
          </c:val>
          <c:smooth val="0"/>
        </c:ser>
        <c:ser>
          <c:idx val="7"/>
          <c:order val="7"/>
          <c:tx>
            <c:strRef>
              <c:f>'Selección final metodología'!$A$9</c:f>
              <c:strCache>
                <c:ptCount val="1"/>
                <c:pt idx="0">
                  <c:v>Arbutus unedo</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metodología'!$B$9:$F$9</c:f>
              <c:numCache>
                <c:formatCode>0.000</c:formatCode>
                <c:ptCount val="5"/>
                <c:pt idx="0">
                  <c:v>5.9604517312365456E-2</c:v>
                </c:pt>
                <c:pt idx="1">
                  <c:v>7.4505646640456821E-2</c:v>
                </c:pt>
                <c:pt idx="2">
                  <c:v>8.9406775968548208E-2</c:v>
                </c:pt>
                <c:pt idx="3">
                  <c:v>0.10430790529663955</c:v>
                </c:pt>
                <c:pt idx="4">
                  <c:v>0.11920903462473091</c:v>
                </c:pt>
              </c:numCache>
            </c:numRef>
          </c:val>
          <c:smooth val="0"/>
        </c:ser>
        <c:ser>
          <c:idx val="8"/>
          <c:order val="8"/>
          <c:tx>
            <c:strRef>
              <c:f>'Selección final metodología'!$A$10</c:f>
              <c:strCache>
                <c:ptCount val="1"/>
                <c:pt idx="0">
                  <c:v>Betula spp.</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metodología'!$B$10:$F$10</c:f>
              <c:numCache>
                <c:formatCode>0.000</c:formatCode>
                <c:ptCount val="5"/>
                <c:pt idx="0">
                  <c:v>6.2278228970051946E-2</c:v>
                </c:pt>
                <c:pt idx="1">
                  <c:v>7.784778621256494E-2</c:v>
                </c:pt>
                <c:pt idx="2">
                  <c:v>9.3417343455077906E-2</c:v>
                </c:pt>
                <c:pt idx="3">
                  <c:v>0.1089869006975909</c:v>
                </c:pt>
                <c:pt idx="4">
                  <c:v>0.12455645794010389</c:v>
                </c:pt>
              </c:numCache>
            </c:numRef>
          </c:val>
          <c:smooth val="0"/>
        </c:ser>
        <c:ser>
          <c:idx val="9"/>
          <c:order val="9"/>
          <c:tx>
            <c:strRef>
              <c:f>'Selección final metodología'!$A$11</c:f>
              <c:strCache>
                <c:ptCount val="1"/>
                <c:pt idx="0">
                  <c:v>Carpinus betulus</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metodología'!$B$11:$F$11</c:f>
              <c:numCache>
                <c:formatCode>0.000</c:formatCode>
                <c:ptCount val="5"/>
                <c:pt idx="0">
                  <c:v>6.2278228970051946E-2</c:v>
                </c:pt>
                <c:pt idx="1">
                  <c:v>7.784778621256494E-2</c:v>
                </c:pt>
                <c:pt idx="2">
                  <c:v>9.3417343455077906E-2</c:v>
                </c:pt>
                <c:pt idx="3">
                  <c:v>0.1089869006975909</c:v>
                </c:pt>
                <c:pt idx="4">
                  <c:v>0.12455645794010389</c:v>
                </c:pt>
              </c:numCache>
            </c:numRef>
          </c:val>
          <c:smooth val="0"/>
        </c:ser>
        <c:ser>
          <c:idx val="10"/>
          <c:order val="10"/>
          <c:tx>
            <c:strRef>
              <c:f>'Selección final metodología'!$A$12</c:f>
              <c:strCache>
                <c:ptCount val="1"/>
                <c:pt idx="0">
                  <c:v>Castanea sativa</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metodología'!$B$12:$F$12</c:f>
              <c:numCache>
                <c:formatCode>0.000</c:formatCode>
                <c:ptCount val="5"/>
                <c:pt idx="0">
                  <c:v>0.1241181539518298</c:v>
                </c:pt>
                <c:pt idx="1">
                  <c:v>0.15514769243978724</c:v>
                </c:pt>
                <c:pt idx="2">
                  <c:v>0.18617723092774471</c:v>
                </c:pt>
                <c:pt idx="3">
                  <c:v>0.21720676941570213</c:v>
                </c:pt>
                <c:pt idx="4">
                  <c:v>0.24823630790365961</c:v>
                </c:pt>
              </c:numCache>
            </c:numRef>
          </c:val>
          <c:smooth val="0"/>
        </c:ser>
        <c:ser>
          <c:idx val="11"/>
          <c:order val="11"/>
          <c:tx>
            <c:strRef>
              <c:f>'Selección final metodología'!$A$13</c:f>
              <c:strCache>
                <c:ptCount val="1"/>
                <c:pt idx="0">
                  <c:v>Ceratonia siliqua</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metodología'!$B$13:$F$13</c:f>
              <c:numCache>
                <c:formatCode>0.000</c:formatCode>
                <c:ptCount val="5"/>
                <c:pt idx="0">
                  <c:v>6.1960458449175387E-2</c:v>
                </c:pt>
                <c:pt idx="1">
                  <c:v>7.7450573061469213E-2</c:v>
                </c:pt>
                <c:pt idx="2">
                  <c:v>9.2940687673763067E-2</c:v>
                </c:pt>
                <c:pt idx="3">
                  <c:v>0.10843080228605692</c:v>
                </c:pt>
                <c:pt idx="4">
                  <c:v>0.12392091689835077</c:v>
                </c:pt>
              </c:numCache>
            </c:numRef>
          </c:val>
          <c:smooth val="0"/>
        </c:ser>
        <c:ser>
          <c:idx val="12"/>
          <c:order val="12"/>
          <c:tx>
            <c:strRef>
              <c:f>'Selección final metodología'!$A$14</c:f>
              <c:strCache>
                <c:ptCount val="1"/>
                <c:pt idx="0">
                  <c:v>Cedrus atlantica</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metodología'!$B$14:$F$14</c:f>
              <c:numCache>
                <c:formatCode>0.000</c:formatCode>
                <c:ptCount val="5"/>
                <c:pt idx="0">
                  <c:v>0.34624258854033912</c:v>
                </c:pt>
                <c:pt idx="1">
                  <c:v>0.63416449134559993</c:v>
                </c:pt>
                <c:pt idx="2">
                  <c:v>1.2964681323565146</c:v>
                </c:pt>
                <c:pt idx="3">
                  <c:v>2.8776869027198626</c:v>
                </c:pt>
                <c:pt idx="4">
                  <c:v>3.4048640619376549</c:v>
                </c:pt>
              </c:numCache>
            </c:numRef>
          </c:val>
          <c:smooth val="0"/>
        </c:ser>
        <c:ser>
          <c:idx val="13"/>
          <c:order val="13"/>
          <c:tx>
            <c:strRef>
              <c:f>'Selección final metodología'!$A$15</c:f>
              <c:strCache>
                <c:ptCount val="1"/>
                <c:pt idx="0">
                  <c:v>Celtis australis</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metodología'!$B$15:$F$15</c:f>
              <c:numCache>
                <c:formatCode>0.000</c:formatCode>
                <c:ptCount val="5"/>
                <c:pt idx="0">
                  <c:v>0.28554224648832599</c:v>
                </c:pt>
                <c:pt idx="1">
                  <c:v>0.72002933854517226</c:v>
                </c:pt>
                <c:pt idx="2">
                  <c:v>1.0064449533150317</c:v>
                </c:pt>
                <c:pt idx="3">
                  <c:v>1.44499968749023</c:v>
                </c:pt>
                <c:pt idx="4">
                  <c:v>1.8956012546262551</c:v>
                </c:pt>
              </c:numCache>
            </c:numRef>
          </c:val>
          <c:smooth val="0"/>
        </c:ser>
        <c:ser>
          <c:idx val="14"/>
          <c:order val="14"/>
          <c:tx>
            <c:strRef>
              <c:f>'Selección final metodología'!$A$16</c:f>
              <c:strCache>
                <c:ptCount val="1"/>
                <c:pt idx="0">
                  <c:v>Chamaecyparis lawsoniana</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metodología'!$B$16:$F$16</c:f>
              <c:numCache>
                <c:formatCode>0.000</c:formatCode>
                <c:ptCount val="5"/>
                <c:pt idx="0">
                  <c:v>7.2902029632532592E-3</c:v>
                </c:pt>
                <c:pt idx="1">
                  <c:v>9.1127537040665719E-3</c:v>
                </c:pt>
                <c:pt idx="2">
                  <c:v>1.0935304444879886E-2</c:v>
                </c:pt>
                <c:pt idx="3">
                  <c:v>1.2757855185693201E-2</c:v>
                </c:pt>
                <c:pt idx="4">
                  <c:v>1.4580405926506518E-2</c:v>
                </c:pt>
              </c:numCache>
            </c:numRef>
          </c:val>
          <c:smooth val="0"/>
        </c:ser>
        <c:ser>
          <c:idx val="15"/>
          <c:order val="15"/>
          <c:tx>
            <c:strRef>
              <c:f>'Selección final metodología'!$A$17</c:f>
              <c:strCache>
                <c:ptCount val="1"/>
                <c:pt idx="0">
                  <c:v>Cornus sanguinea</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metodología'!$B$17:$F$17</c:f>
              <c:numCache>
                <c:formatCode>0.000</c:formatCode>
                <c:ptCount val="5"/>
                <c:pt idx="0">
                  <c:v>4.2905184381875593E-2</c:v>
                </c:pt>
                <c:pt idx="1">
                  <c:v>0.11203292161465764</c:v>
                </c:pt>
                <c:pt idx="2">
                  <c:v>0.20516585167863827</c:v>
                </c:pt>
                <c:pt idx="3">
                  <c:v>0.34790001540782683</c:v>
                </c:pt>
                <c:pt idx="4">
                  <c:v>0.39760001760894487</c:v>
                </c:pt>
              </c:numCache>
            </c:numRef>
          </c:val>
          <c:smooth val="0"/>
        </c:ser>
        <c:ser>
          <c:idx val="16"/>
          <c:order val="16"/>
          <c:tx>
            <c:strRef>
              <c:f>'Selección final metodología'!$A$18</c:f>
              <c:strCache>
                <c:ptCount val="1"/>
                <c:pt idx="0">
                  <c:v>Corylus avellana</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metodología'!$B$18:$F$18</c:f>
              <c:numCache>
                <c:formatCode>0.000</c:formatCode>
                <c:ptCount val="5"/>
                <c:pt idx="0">
                  <c:v>7.8352200436330038E-2</c:v>
                </c:pt>
                <c:pt idx="1">
                  <c:v>9.7940250545412541E-2</c:v>
                </c:pt>
                <c:pt idx="2">
                  <c:v>0.11752830065449504</c:v>
                </c:pt>
                <c:pt idx="3">
                  <c:v>0.13711635076357756</c:v>
                </c:pt>
                <c:pt idx="4">
                  <c:v>0.15670440087266008</c:v>
                </c:pt>
              </c:numCache>
            </c:numRef>
          </c:val>
          <c:smooth val="0"/>
        </c:ser>
        <c:ser>
          <c:idx val="17"/>
          <c:order val="17"/>
          <c:tx>
            <c:strRef>
              <c:f>'Selección final metodología'!$A$19</c:f>
              <c:strCache>
                <c:ptCount val="1"/>
                <c:pt idx="0">
                  <c:v>Crataegus spp.</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metodología'!$B$19:$F$19</c:f>
              <c:numCache>
                <c:formatCode>0.000</c:formatCode>
                <c:ptCount val="5"/>
                <c:pt idx="0">
                  <c:v>4.2905184381875593E-2</c:v>
                </c:pt>
                <c:pt idx="1">
                  <c:v>0.11203292161465764</c:v>
                </c:pt>
                <c:pt idx="2">
                  <c:v>0.20516585167863827</c:v>
                </c:pt>
                <c:pt idx="3">
                  <c:v>0.34790001540782683</c:v>
                </c:pt>
                <c:pt idx="4">
                  <c:v>0.39760001760894487</c:v>
                </c:pt>
              </c:numCache>
            </c:numRef>
          </c:val>
          <c:smooth val="0"/>
        </c:ser>
        <c:ser>
          <c:idx val="18"/>
          <c:order val="18"/>
          <c:tx>
            <c:strRef>
              <c:f>'Selección final metodología'!$A$20</c:f>
              <c:strCache>
                <c:ptCount val="1"/>
                <c:pt idx="0">
                  <c:v>Cupressus arizonica</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metodología'!$B$20:$F$20</c:f>
              <c:numCache>
                <c:formatCode>0.000</c:formatCode>
                <c:ptCount val="5"/>
                <c:pt idx="0">
                  <c:v>3.1829804580021943E-2</c:v>
                </c:pt>
                <c:pt idx="1">
                  <c:v>4.8315700463393098E-2</c:v>
                </c:pt>
                <c:pt idx="2">
                  <c:v>5.797884055607172E-2</c:v>
                </c:pt>
                <c:pt idx="3">
                  <c:v>0.11616913219309503</c:v>
                </c:pt>
                <c:pt idx="4">
                  <c:v>0.14741916710201577</c:v>
                </c:pt>
              </c:numCache>
            </c:numRef>
          </c:val>
          <c:smooth val="0"/>
        </c:ser>
        <c:ser>
          <c:idx val="19"/>
          <c:order val="19"/>
          <c:tx>
            <c:strRef>
              <c:f>'Selección final metodología'!$A$21</c:f>
              <c:strCache>
                <c:ptCount val="1"/>
                <c:pt idx="0">
                  <c:v>Cupressus macrocarpa</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metodología'!$B$21:$F$21</c:f>
              <c:numCache>
                <c:formatCode>0.000</c:formatCode>
                <c:ptCount val="5"/>
                <c:pt idx="0">
                  <c:v>3.1829804580021943E-2</c:v>
                </c:pt>
                <c:pt idx="1">
                  <c:v>4.8315700463393098E-2</c:v>
                </c:pt>
                <c:pt idx="2">
                  <c:v>5.797884055607172E-2</c:v>
                </c:pt>
                <c:pt idx="3">
                  <c:v>0.11616913219309503</c:v>
                </c:pt>
                <c:pt idx="4">
                  <c:v>0.14741916710201577</c:v>
                </c:pt>
              </c:numCache>
            </c:numRef>
          </c:val>
          <c:smooth val="0"/>
        </c:ser>
        <c:ser>
          <c:idx val="20"/>
          <c:order val="20"/>
          <c:tx>
            <c:strRef>
              <c:f>'Selección final metodología'!$A$22</c:f>
              <c:strCache>
                <c:ptCount val="1"/>
                <c:pt idx="0">
                  <c:v>Cupressus sempervirens</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metodología'!$B$22:$F$22</c:f>
              <c:numCache>
                <c:formatCode>0.000</c:formatCode>
                <c:ptCount val="5"/>
                <c:pt idx="0">
                  <c:v>3.1829804580021943E-2</c:v>
                </c:pt>
                <c:pt idx="1">
                  <c:v>4.8315700463393098E-2</c:v>
                </c:pt>
                <c:pt idx="2">
                  <c:v>5.797884055607172E-2</c:v>
                </c:pt>
                <c:pt idx="3">
                  <c:v>0.11616913219309503</c:v>
                </c:pt>
                <c:pt idx="4">
                  <c:v>0.14741916710201577</c:v>
                </c:pt>
              </c:numCache>
            </c:numRef>
          </c:val>
          <c:smooth val="0"/>
        </c:ser>
        <c:ser>
          <c:idx val="21"/>
          <c:order val="21"/>
          <c:tx>
            <c:strRef>
              <c:f>'Selección final metodología'!$A$23</c:f>
              <c:strCache>
                <c:ptCount val="1"/>
                <c:pt idx="0">
                  <c:v>Erica arborea (Canarias)</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metodología'!$B$23:$F$23</c:f>
              <c:numCache>
                <c:formatCode>0.000</c:formatCode>
                <c:ptCount val="5"/>
                <c:pt idx="0">
                  <c:v>4.2905184381875593E-2</c:v>
                </c:pt>
                <c:pt idx="1">
                  <c:v>0.11203292161465764</c:v>
                </c:pt>
                <c:pt idx="2">
                  <c:v>0.20516585167863827</c:v>
                </c:pt>
                <c:pt idx="3">
                  <c:v>0.34790001540782683</c:v>
                </c:pt>
                <c:pt idx="4">
                  <c:v>0.39760001760894487</c:v>
                </c:pt>
              </c:numCache>
            </c:numRef>
          </c:val>
          <c:smooth val="0"/>
        </c:ser>
        <c:ser>
          <c:idx val="22"/>
          <c:order val="22"/>
          <c:tx>
            <c:strRef>
              <c:f>'Selección final metodología'!$A$24</c:f>
              <c:strCache>
                <c:ptCount val="1"/>
                <c:pt idx="0">
                  <c:v>Eucalyptus camaldulensis</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metodología'!$B$24:$F$24</c:f>
              <c:numCache>
                <c:formatCode>0.000</c:formatCode>
                <c:ptCount val="5"/>
                <c:pt idx="0">
                  <c:v>0.40481930196049593</c:v>
                </c:pt>
                <c:pt idx="1">
                  <c:v>0.99657840558360089</c:v>
                </c:pt>
                <c:pt idx="2">
                  <c:v>1.5658280222622489</c:v>
                </c:pt>
                <c:pt idx="3">
                  <c:v>2.2347041313747185</c:v>
                </c:pt>
                <c:pt idx="4">
                  <c:v>3.5316719948964348</c:v>
                </c:pt>
              </c:numCache>
            </c:numRef>
          </c:val>
          <c:smooth val="0"/>
        </c:ser>
        <c:ser>
          <c:idx val="23"/>
          <c:order val="23"/>
          <c:tx>
            <c:strRef>
              <c:f>'Selección final metodología'!$A$25</c:f>
              <c:strCache>
                <c:ptCount val="1"/>
                <c:pt idx="0">
                  <c:v>Eucalyptus globulus</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metodología'!$B$25:$F$25</c:f>
              <c:numCache>
                <c:formatCode>0.000</c:formatCode>
                <c:ptCount val="5"/>
                <c:pt idx="0">
                  <c:v>0.56958214626885495</c:v>
                </c:pt>
                <c:pt idx="1">
                  <c:v>1.3908497572587581</c:v>
                </c:pt>
                <c:pt idx="2">
                  <c:v>2.0361298403169146</c:v>
                </c:pt>
                <c:pt idx="3">
                  <c:v>2.9973328241580197</c:v>
                </c:pt>
                <c:pt idx="4">
                  <c:v>4.8736009360390691</c:v>
                </c:pt>
              </c:numCache>
            </c:numRef>
          </c:val>
          <c:smooth val="0"/>
        </c:ser>
        <c:ser>
          <c:idx val="24"/>
          <c:order val="24"/>
          <c:tx>
            <c:strRef>
              <c:f>'Selección final metodología'!$A$26</c:f>
              <c:strCache>
                <c:ptCount val="1"/>
                <c:pt idx="0">
                  <c:v>Fagus sylvatica</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metodología'!$B$26:$F$26</c:f>
              <c:numCache>
                <c:formatCode>0.000</c:formatCode>
                <c:ptCount val="5"/>
                <c:pt idx="0">
                  <c:v>3.769774343225004E-3</c:v>
                </c:pt>
                <c:pt idx="1">
                  <c:v>2.2674170139378728E-2</c:v>
                </c:pt>
                <c:pt idx="2">
                  <c:v>2.720900416725448E-2</c:v>
                </c:pt>
                <c:pt idx="3">
                  <c:v>6.9703150798753E-2</c:v>
                </c:pt>
                <c:pt idx="4">
                  <c:v>0.22629552729785765</c:v>
                </c:pt>
              </c:numCache>
            </c:numRef>
          </c:val>
          <c:smooth val="0"/>
        </c:ser>
        <c:ser>
          <c:idx val="25"/>
          <c:order val="25"/>
          <c:tx>
            <c:strRef>
              <c:f>'Selección final metodología'!$A$27</c:f>
              <c:strCache>
                <c:ptCount val="1"/>
                <c:pt idx="0">
                  <c:v>Fraxinus spp.</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metodología'!$B$27:$F$27</c:f>
              <c:numCache>
                <c:formatCode>0.000</c:formatCode>
                <c:ptCount val="5"/>
                <c:pt idx="0">
                  <c:v>9.0997276417428483E-2</c:v>
                </c:pt>
                <c:pt idx="1">
                  <c:v>0.11374659552178558</c:v>
                </c:pt>
                <c:pt idx="2">
                  <c:v>0.18470565168801564</c:v>
                </c:pt>
                <c:pt idx="3">
                  <c:v>0.28736688910270414</c:v>
                </c:pt>
                <c:pt idx="4">
                  <c:v>0.32841930183166185</c:v>
                </c:pt>
              </c:numCache>
            </c:numRef>
          </c:val>
          <c:smooth val="0"/>
        </c:ser>
        <c:ser>
          <c:idx val="26"/>
          <c:order val="26"/>
          <c:tx>
            <c:strRef>
              <c:f>'Selección final metodología'!$A$28</c:f>
              <c:strCache>
                <c:ptCount val="1"/>
                <c:pt idx="0">
                  <c:v>Ilex aquifolium</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metodología'!$B$28:$F$28</c:f>
              <c:numCache>
                <c:formatCode>0.000</c:formatCode>
                <c:ptCount val="5"/>
                <c:pt idx="0">
                  <c:v>3.1871348877880464E-2</c:v>
                </c:pt>
                <c:pt idx="1">
                  <c:v>3.9839186097350585E-2</c:v>
                </c:pt>
                <c:pt idx="2">
                  <c:v>4.7807023316820692E-2</c:v>
                </c:pt>
                <c:pt idx="3">
                  <c:v>8.388718973868918E-2</c:v>
                </c:pt>
                <c:pt idx="4">
                  <c:v>9.5871073987073341E-2</c:v>
                </c:pt>
              </c:numCache>
            </c:numRef>
          </c:val>
          <c:smooth val="0"/>
        </c:ser>
        <c:ser>
          <c:idx val="27"/>
          <c:order val="27"/>
          <c:tx>
            <c:strRef>
              <c:f>'Selección final metodología'!$A$29</c:f>
              <c:strCache>
                <c:ptCount val="1"/>
                <c:pt idx="0">
                  <c:v>Ilex canariensis</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metodología'!$B$29:$F$29</c:f>
              <c:numCache>
                <c:formatCode>0.000</c:formatCode>
                <c:ptCount val="5"/>
                <c:pt idx="0">
                  <c:v>3.5895556554346862E-2</c:v>
                </c:pt>
                <c:pt idx="1">
                  <c:v>4.4869445692933579E-2</c:v>
                </c:pt>
                <c:pt idx="2">
                  <c:v>5.3843334831520297E-2</c:v>
                </c:pt>
                <c:pt idx="3">
                  <c:v>0.12009784588996364</c:v>
                </c:pt>
                <c:pt idx="4">
                  <c:v>0.13725468101710131</c:v>
                </c:pt>
              </c:numCache>
            </c:numRef>
          </c:val>
          <c:smooth val="0"/>
        </c:ser>
        <c:ser>
          <c:idx val="28"/>
          <c:order val="28"/>
          <c:tx>
            <c:strRef>
              <c:f>'Selección final metodología'!$A$31</c:f>
              <c:strCache>
                <c:ptCount val="1"/>
                <c:pt idx="0">
                  <c:v>Juniperus oxycedrus, J. communis</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metodología'!$B$31:$F$31</c:f>
              <c:numCache>
                <c:formatCode>0.000</c:formatCode>
                <c:ptCount val="5"/>
                <c:pt idx="0">
                  <c:v>1.138475443544619E-2</c:v>
                </c:pt>
                <c:pt idx="1">
                  <c:v>1.4230943044307736E-2</c:v>
                </c:pt>
                <c:pt idx="2">
                  <c:v>1.7077131653169285E-2</c:v>
                </c:pt>
                <c:pt idx="3">
                  <c:v>1.9923320262030829E-2</c:v>
                </c:pt>
                <c:pt idx="4">
                  <c:v>2.276950887089238E-2</c:v>
                </c:pt>
              </c:numCache>
            </c:numRef>
          </c:val>
          <c:smooth val="0"/>
        </c:ser>
        <c:ser>
          <c:idx val="29"/>
          <c:order val="29"/>
          <c:tx>
            <c:strRef>
              <c:f>'Selección final metodología'!$A$32</c:f>
              <c:strCache>
                <c:ptCount val="1"/>
                <c:pt idx="0">
                  <c:v>Juniperus phoenicea</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metodología'!$B$32:$F$32</c:f>
              <c:numCache>
                <c:formatCode>0.000</c:formatCode>
                <c:ptCount val="5"/>
                <c:pt idx="0">
                  <c:v>1.885541322108111E-2</c:v>
                </c:pt>
                <c:pt idx="1">
                  <c:v>2.3569266526351388E-2</c:v>
                </c:pt>
                <c:pt idx="2">
                  <c:v>2.8283119831621666E-2</c:v>
                </c:pt>
                <c:pt idx="3">
                  <c:v>3.2996973136891941E-2</c:v>
                </c:pt>
                <c:pt idx="4">
                  <c:v>3.7710826442162219E-2</c:v>
                </c:pt>
              </c:numCache>
            </c:numRef>
          </c:val>
          <c:smooth val="0"/>
        </c:ser>
        <c:ser>
          <c:idx val="30"/>
          <c:order val="30"/>
          <c:tx>
            <c:strRef>
              <c:f>'Selección final metodología'!$A$33</c:f>
              <c:strCache>
                <c:ptCount val="1"/>
                <c:pt idx="0">
                  <c:v>Juniperus thurifera</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metodología'!$B$33:$F$33</c:f>
              <c:numCache>
                <c:formatCode>0.000</c:formatCode>
                <c:ptCount val="5"/>
                <c:pt idx="0">
                  <c:v>1.3942374656015961E-2</c:v>
                </c:pt>
                <c:pt idx="1">
                  <c:v>1.742796832001995E-2</c:v>
                </c:pt>
                <c:pt idx="2">
                  <c:v>2.0913561984023939E-2</c:v>
                </c:pt>
                <c:pt idx="3">
                  <c:v>2.4399155648027929E-2</c:v>
                </c:pt>
                <c:pt idx="4">
                  <c:v>2.7884749312031921E-2</c:v>
                </c:pt>
              </c:numCache>
            </c:numRef>
          </c:val>
          <c:smooth val="0"/>
        </c:ser>
        <c:ser>
          <c:idx val="31"/>
          <c:order val="31"/>
          <c:tx>
            <c:strRef>
              <c:f>'Selección final metodología'!$A$34</c:f>
              <c:strCache>
                <c:ptCount val="1"/>
                <c:pt idx="0">
                  <c:v>Larix spp.</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metodología'!$B$34:$F$34</c:f>
              <c:numCache>
                <c:formatCode>0.000</c:formatCode>
                <c:ptCount val="5"/>
                <c:pt idx="0">
                  <c:v>0.34382433153064573</c:v>
                </c:pt>
                <c:pt idx="1">
                  <c:v>0.42978041441330711</c:v>
                </c:pt>
                <c:pt idx="2">
                  <c:v>0.5157364972959686</c:v>
                </c:pt>
                <c:pt idx="3">
                  <c:v>0.60169258017863003</c:v>
                </c:pt>
                <c:pt idx="4">
                  <c:v>0.68764866306129147</c:v>
                </c:pt>
              </c:numCache>
            </c:numRef>
          </c:val>
          <c:smooth val="0"/>
        </c:ser>
        <c:ser>
          <c:idx val="32"/>
          <c:order val="32"/>
          <c:tx>
            <c:strRef>
              <c:f>'Selección final metodología'!$A$35</c:f>
              <c:strCache>
                <c:ptCount val="1"/>
                <c:pt idx="0">
                  <c:v>Laurus azorica</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metodología'!$B$35:$F$35</c:f>
              <c:numCache>
                <c:formatCode>0.000</c:formatCode>
                <c:ptCount val="5"/>
                <c:pt idx="0">
                  <c:v>4.2905184381875593E-2</c:v>
                </c:pt>
                <c:pt idx="1">
                  <c:v>0.11203292161465764</c:v>
                </c:pt>
                <c:pt idx="2">
                  <c:v>0.20516585167863827</c:v>
                </c:pt>
                <c:pt idx="3">
                  <c:v>0.34790001540782683</c:v>
                </c:pt>
                <c:pt idx="4">
                  <c:v>0.39760001760894487</c:v>
                </c:pt>
              </c:numCache>
            </c:numRef>
          </c:val>
          <c:smooth val="0"/>
        </c:ser>
        <c:ser>
          <c:idx val="33"/>
          <c:order val="33"/>
          <c:tx>
            <c:strRef>
              <c:f>'Selección final metodología'!$A$36</c:f>
              <c:strCache>
                <c:ptCount val="1"/>
                <c:pt idx="0">
                  <c:v>Laurus nobilis</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metodología'!$B$36:$F$36</c:f>
              <c:numCache>
                <c:formatCode>0.000</c:formatCode>
                <c:ptCount val="5"/>
                <c:pt idx="0">
                  <c:v>4.2905184381875593E-2</c:v>
                </c:pt>
                <c:pt idx="1">
                  <c:v>0.11203292161465764</c:v>
                </c:pt>
                <c:pt idx="2">
                  <c:v>0.20516585167863827</c:v>
                </c:pt>
                <c:pt idx="3">
                  <c:v>0.34790001540782683</c:v>
                </c:pt>
                <c:pt idx="4">
                  <c:v>0.39760001760894487</c:v>
                </c:pt>
              </c:numCache>
            </c:numRef>
          </c:val>
          <c:smooth val="0"/>
        </c:ser>
        <c:ser>
          <c:idx val="34"/>
          <c:order val="34"/>
          <c:tx>
            <c:strRef>
              <c:f>'Selección final metodología'!$A$37</c:f>
              <c:strCache>
                <c:ptCount val="1"/>
                <c:pt idx="0">
                  <c:v>Malus sylvestris</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metodología'!$B$37:$F$37</c:f>
              <c:numCache>
                <c:formatCode>0.000</c:formatCode>
                <c:ptCount val="5"/>
                <c:pt idx="0">
                  <c:v>0.14975536130234138</c:v>
                </c:pt>
                <c:pt idx="1">
                  <c:v>0.18719420162792669</c:v>
                </c:pt>
                <c:pt idx="2">
                  <c:v>0.22463304195351205</c:v>
                </c:pt>
                <c:pt idx="3">
                  <c:v>0.26207188227909739</c:v>
                </c:pt>
                <c:pt idx="4">
                  <c:v>0.29951072260468276</c:v>
                </c:pt>
              </c:numCache>
            </c:numRef>
          </c:val>
          <c:smooth val="0"/>
        </c:ser>
        <c:ser>
          <c:idx val="35"/>
          <c:order val="35"/>
          <c:tx>
            <c:strRef>
              <c:f>'Selección final metodología'!$A$38</c:f>
              <c:strCache>
                <c:ptCount val="1"/>
                <c:pt idx="0">
                  <c:v>Myrica faya</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metodología'!$B$38:$F$38</c:f>
              <c:numCache>
                <c:formatCode>0.000</c:formatCode>
                <c:ptCount val="5"/>
                <c:pt idx="0">
                  <c:v>4.2905184381875593E-2</c:v>
                </c:pt>
                <c:pt idx="1">
                  <c:v>0.11203292161465764</c:v>
                </c:pt>
                <c:pt idx="2">
                  <c:v>0.20516585167863827</c:v>
                </c:pt>
                <c:pt idx="3">
                  <c:v>0.34790001540782683</c:v>
                </c:pt>
                <c:pt idx="4">
                  <c:v>0.39760001760894487</c:v>
                </c:pt>
              </c:numCache>
            </c:numRef>
          </c:val>
          <c:smooth val="0"/>
        </c:ser>
        <c:ser>
          <c:idx val="36"/>
          <c:order val="36"/>
          <c:tx>
            <c:strRef>
              <c:f>'Selección final metodología'!$A$39</c:f>
              <c:strCache>
                <c:ptCount val="1"/>
                <c:pt idx="0">
                  <c:v>Myrtus communis</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metodología'!$B$39:$F$39</c:f>
              <c:numCache>
                <c:formatCode>0.000</c:formatCode>
                <c:ptCount val="5"/>
                <c:pt idx="0">
                  <c:v>4.2905184381875593E-2</c:v>
                </c:pt>
                <c:pt idx="1">
                  <c:v>0.11203292161465764</c:v>
                </c:pt>
                <c:pt idx="2">
                  <c:v>0.20516585167863827</c:v>
                </c:pt>
                <c:pt idx="3">
                  <c:v>0.34790001540782683</c:v>
                </c:pt>
                <c:pt idx="4">
                  <c:v>0.39760001760894487</c:v>
                </c:pt>
              </c:numCache>
            </c:numRef>
          </c:val>
          <c:smooth val="0"/>
        </c:ser>
        <c:ser>
          <c:idx val="37"/>
          <c:order val="37"/>
          <c:tx>
            <c:strRef>
              <c:f>'Selección final metodología'!$A$40</c:f>
              <c:strCache>
                <c:ptCount val="1"/>
                <c:pt idx="0">
                  <c:v>Olea europaea</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metodología'!$B$40:$F$40</c:f>
              <c:numCache>
                <c:formatCode>0.000</c:formatCode>
                <c:ptCount val="5"/>
                <c:pt idx="0">
                  <c:v>3.8995053250978962E-2</c:v>
                </c:pt>
                <c:pt idx="1">
                  <c:v>4.8743816563723702E-2</c:v>
                </c:pt>
                <c:pt idx="2">
                  <c:v>8.4081899478263639E-2</c:v>
                </c:pt>
                <c:pt idx="3">
                  <c:v>9.8095549391307588E-2</c:v>
                </c:pt>
                <c:pt idx="4">
                  <c:v>0.11210919930435154</c:v>
                </c:pt>
              </c:numCache>
            </c:numRef>
          </c:val>
          <c:smooth val="0"/>
        </c:ser>
        <c:ser>
          <c:idx val="38"/>
          <c:order val="38"/>
          <c:tx>
            <c:strRef>
              <c:f>'Selección final metodología'!$A$41</c:f>
              <c:strCache>
                <c:ptCount val="1"/>
                <c:pt idx="0">
                  <c:v>Phillyrea latifolia</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metodología'!$B$41:$F$41</c:f>
              <c:numCache>
                <c:formatCode>0.000</c:formatCode>
                <c:ptCount val="5"/>
                <c:pt idx="0">
                  <c:v>2.5342670549338638E-2</c:v>
                </c:pt>
                <c:pt idx="1">
                  <c:v>3.1678338186673295E-2</c:v>
                </c:pt>
                <c:pt idx="2">
                  <c:v>8.9359935740666363E-2</c:v>
                </c:pt>
                <c:pt idx="3">
                  <c:v>0.17131551853775909</c:v>
                </c:pt>
                <c:pt idx="4">
                  <c:v>0.19578916404315322</c:v>
                </c:pt>
              </c:numCache>
            </c:numRef>
          </c:val>
          <c:smooth val="0"/>
        </c:ser>
        <c:ser>
          <c:idx val="39"/>
          <c:order val="39"/>
          <c:tx>
            <c:strRef>
              <c:f>'Selección final metodología'!$A$42</c:f>
              <c:strCache>
                <c:ptCount val="1"/>
                <c:pt idx="0">
                  <c:v>Phoenix spp.</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metodología'!$B$42:$F$42</c:f>
              <c:numCache>
                <c:formatCode>0.000</c:formatCode>
                <c:ptCount val="5"/>
                <c:pt idx="0">
                  <c:v>0.3086707442568718</c:v>
                </c:pt>
                <c:pt idx="1">
                  <c:v>0.57498705887181834</c:v>
                </c:pt>
                <c:pt idx="2">
                  <c:v>0.89565940633103525</c:v>
                </c:pt>
                <c:pt idx="3">
                  <c:v>1.2444439508529392</c:v>
                </c:pt>
                <c:pt idx="4">
                  <c:v>1.3659285306119766</c:v>
                </c:pt>
              </c:numCache>
            </c:numRef>
          </c:val>
          <c:smooth val="0"/>
        </c:ser>
        <c:ser>
          <c:idx val="40"/>
          <c:order val="40"/>
          <c:tx>
            <c:strRef>
              <c:f>'Selección final metodología'!$A$43</c:f>
              <c:strCache>
                <c:ptCount val="1"/>
                <c:pt idx="0">
                  <c:v>Picea abies</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metodología'!$B$43:$F$43</c:f>
              <c:numCache>
                <c:formatCode>0.000</c:formatCode>
                <c:ptCount val="5"/>
                <c:pt idx="0">
                  <c:v>0.34624258854033912</c:v>
                </c:pt>
                <c:pt idx="1">
                  <c:v>0.63416449134559993</c:v>
                </c:pt>
                <c:pt idx="2">
                  <c:v>1.2964681323565146</c:v>
                </c:pt>
                <c:pt idx="3">
                  <c:v>2.8776869027198626</c:v>
                </c:pt>
                <c:pt idx="4">
                  <c:v>3.4048640619376549</c:v>
                </c:pt>
              </c:numCache>
            </c:numRef>
          </c:val>
          <c:smooth val="0"/>
        </c:ser>
        <c:ser>
          <c:idx val="41"/>
          <c:order val="41"/>
          <c:tx>
            <c:strRef>
              <c:f>'Selección final metodología'!$A$44</c:f>
              <c:strCache>
                <c:ptCount val="1"/>
                <c:pt idx="0">
                  <c:v>Pinus canariensis</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metodología'!$B$44:$F$44</c:f>
              <c:numCache>
                <c:formatCode>0.000</c:formatCode>
                <c:ptCount val="5"/>
                <c:pt idx="0">
                  <c:v>2.6547327211478084E-2</c:v>
                </c:pt>
                <c:pt idx="1">
                  <c:v>6.8345157178653956E-2</c:v>
                </c:pt>
                <c:pt idx="2">
                  <c:v>0.13534900640836928</c:v>
                </c:pt>
                <c:pt idx="3">
                  <c:v>0.15790717414309749</c:v>
                </c:pt>
                <c:pt idx="4">
                  <c:v>0.1804653418778257</c:v>
                </c:pt>
              </c:numCache>
            </c:numRef>
          </c:val>
          <c:smooth val="0"/>
        </c:ser>
        <c:ser>
          <c:idx val="42"/>
          <c:order val="42"/>
          <c:tx>
            <c:strRef>
              <c:f>'Selección final metodología'!$A$45</c:f>
              <c:strCache>
                <c:ptCount val="1"/>
                <c:pt idx="0">
                  <c:v>Pinus halepensis</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metodología'!$B$45:$F$45</c:f>
              <c:numCache>
                <c:formatCode>0.000</c:formatCode>
                <c:ptCount val="5"/>
                <c:pt idx="0">
                  <c:v>3.079439737450931E-2</c:v>
                </c:pt>
                <c:pt idx="1">
                  <c:v>3.8492996718136628E-2</c:v>
                </c:pt>
                <c:pt idx="2">
                  <c:v>8.21892270440258E-2</c:v>
                </c:pt>
                <c:pt idx="3">
                  <c:v>0.1375600979341646</c:v>
                </c:pt>
                <c:pt idx="4">
                  <c:v>0.15721154049618813</c:v>
                </c:pt>
              </c:numCache>
            </c:numRef>
          </c:val>
          <c:smooth val="0"/>
        </c:ser>
        <c:ser>
          <c:idx val="43"/>
          <c:order val="43"/>
          <c:tx>
            <c:strRef>
              <c:f>'Selección final metodología'!$A$46</c:f>
              <c:strCache>
                <c:ptCount val="1"/>
                <c:pt idx="0">
                  <c:v>Pinus nigra Sistema Ibérico</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metodología'!$B$46:$F$46</c:f>
              <c:numCache>
                <c:formatCode>0.000</c:formatCode>
                <c:ptCount val="5"/>
                <c:pt idx="0">
                  <c:v>3.4157697129970299E-2</c:v>
                </c:pt>
                <c:pt idx="1">
                  <c:v>4.2697121412462874E-2</c:v>
                </c:pt>
                <c:pt idx="2">
                  <c:v>5.1236545694955449E-2</c:v>
                </c:pt>
                <c:pt idx="3">
                  <c:v>0.10884537979242993</c:v>
                </c:pt>
                <c:pt idx="4">
                  <c:v>0.12636076078387784</c:v>
                </c:pt>
              </c:numCache>
            </c:numRef>
          </c:val>
          <c:smooth val="0"/>
        </c:ser>
        <c:ser>
          <c:idx val="44"/>
          <c:order val="44"/>
          <c:tx>
            <c:strRef>
              <c:f>'Selección final metodología'!$A$48</c:f>
              <c:strCache>
                <c:ptCount val="1"/>
                <c:pt idx="0">
                  <c:v>Pinus pinaster ssp. atlantica Zona Norte interior</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metodología'!$B$48:$F$48</c:f>
              <c:numCache>
                <c:formatCode>0.000</c:formatCode>
                <c:ptCount val="5"/>
                <c:pt idx="0">
                  <c:v>0.2327115308614556</c:v>
                </c:pt>
                <c:pt idx="1">
                  <c:v>0.40856203182870365</c:v>
                </c:pt>
                <c:pt idx="2">
                  <c:v>0.58249493630952376</c:v>
                </c:pt>
                <c:pt idx="3">
                  <c:v>0.74304199720492636</c:v>
                </c:pt>
                <c:pt idx="4">
                  <c:v>0.91206257563956428</c:v>
                </c:pt>
              </c:numCache>
            </c:numRef>
          </c:val>
          <c:smooth val="0"/>
        </c:ser>
        <c:ser>
          <c:idx val="45"/>
          <c:order val="45"/>
          <c:tx>
            <c:strRef>
              <c:f>'Selección final metodología'!$A$49</c:f>
              <c:strCache>
                <c:ptCount val="1"/>
                <c:pt idx="0">
                  <c:v>Pinus pinaster ssp. atlantica Zona Norte costera</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metodología'!$B$49:$F$49</c:f>
              <c:numCache>
                <c:formatCode>0.000</c:formatCode>
                <c:ptCount val="5"/>
                <c:pt idx="0">
                  <c:v>0.32827964901620366</c:v>
                </c:pt>
                <c:pt idx="1">
                  <c:v>0.53815745067959075</c:v>
                </c:pt>
                <c:pt idx="2">
                  <c:v>0.69121584652967782</c:v>
                </c:pt>
                <c:pt idx="3">
                  <c:v>0.80641848761795754</c:v>
                </c:pt>
                <c:pt idx="4">
                  <c:v>0.92162112870623725</c:v>
                </c:pt>
              </c:numCache>
            </c:numRef>
          </c:val>
          <c:smooth val="0"/>
        </c:ser>
        <c:ser>
          <c:idx val="46"/>
          <c:order val="46"/>
          <c:tx>
            <c:strRef>
              <c:f>'Selección final metodología'!$A$50</c:f>
              <c:strCache>
                <c:ptCount val="1"/>
                <c:pt idx="0">
                  <c:v>Pinus pinaster ssp. mesogeensis Sistema Central</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metodología'!$B$50:$F$50</c:f>
              <c:numCache>
                <c:formatCode>0.000</c:formatCode>
                <c:ptCount val="5"/>
                <c:pt idx="0">
                  <c:v>0.11982849020241199</c:v>
                </c:pt>
                <c:pt idx="1">
                  <c:v>0.14978561275301497</c:v>
                </c:pt>
                <c:pt idx="2">
                  <c:v>0.17974273530361798</c:v>
                </c:pt>
                <c:pt idx="3">
                  <c:v>0.26196202857543643</c:v>
                </c:pt>
                <c:pt idx="4">
                  <c:v>0.35801687535521448</c:v>
                </c:pt>
              </c:numCache>
            </c:numRef>
          </c:val>
          <c:smooth val="0"/>
        </c:ser>
        <c:ser>
          <c:idx val="47"/>
          <c:order val="47"/>
          <c:tx>
            <c:strRef>
              <c:f>'Selección final metodología'!$A$51</c:f>
              <c:strCache>
                <c:ptCount val="1"/>
                <c:pt idx="0">
                  <c:v>Pinus pinaster (Resto)</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metodología'!$B$51:$F$51</c:f>
              <c:numCache>
                <c:formatCode>0.000</c:formatCode>
                <c:ptCount val="5"/>
                <c:pt idx="0">
                  <c:v>2.2564090284982921E-2</c:v>
                </c:pt>
                <c:pt idx="1">
                  <c:v>2.8205112856228648E-2</c:v>
                </c:pt>
                <c:pt idx="2">
                  <c:v>3.3846135427474382E-2</c:v>
                </c:pt>
                <c:pt idx="3">
                  <c:v>7.9542600800647137E-2</c:v>
                </c:pt>
                <c:pt idx="4">
                  <c:v>9.0905829486453871E-2</c:v>
                </c:pt>
              </c:numCache>
            </c:numRef>
          </c:val>
          <c:smooth val="0"/>
        </c:ser>
        <c:ser>
          <c:idx val="48"/>
          <c:order val="48"/>
          <c:tx>
            <c:strRef>
              <c:f>'Selección final metodología'!$A$52</c:f>
              <c:strCache>
                <c:ptCount val="1"/>
                <c:pt idx="0">
                  <c:v>Pinus pinea</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metodología'!$B$52:$F$52</c:f>
              <c:numCache>
                <c:formatCode>0.000</c:formatCode>
                <c:ptCount val="5"/>
                <c:pt idx="0">
                  <c:v>5.5735242101476262E-2</c:v>
                </c:pt>
                <c:pt idx="1">
                  <c:v>9.7053556441893188E-2</c:v>
                </c:pt>
                <c:pt idx="2">
                  <c:v>0.16760700183877539</c:v>
                </c:pt>
                <c:pt idx="3">
                  <c:v>0.19554150214523794</c:v>
                </c:pt>
                <c:pt idx="4">
                  <c:v>0.29288141063309686</c:v>
                </c:pt>
              </c:numCache>
            </c:numRef>
          </c:val>
          <c:smooth val="0"/>
        </c:ser>
        <c:ser>
          <c:idx val="49"/>
          <c:order val="49"/>
          <c:tx>
            <c:strRef>
              <c:f>'Selección final metodología'!$A$53</c:f>
              <c:strCache>
                <c:ptCount val="1"/>
                <c:pt idx="0">
                  <c:v>Pinus radiata</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metodología'!$B$53:$F$53</c:f>
              <c:numCache>
                <c:formatCode>0.000</c:formatCode>
                <c:ptCount val="5"/>
                <c:pt idx="0">
                  <c:v>0.4564333244723322</c:v>
                </c:pt>
                <c:pt idx="1">
                  <c:v>0.78694276633853766</c:v>
                </c:pt>
                <c:pt idx="2">
                  <c:v>1.1651157738742044</c:v>
                </c:pt>
                <c:pt idx="3">
                  <c:v>1.5580231120134596</c:v>
                </c:pt>
                <c:pt idx="4">
                  <c:v>1.7805978423010973</c:v>
                </c:pt>
              </c:numCache>
            </c:numRef>
          </c:val>
          <c:smooth val="0"/>
        </c:ser>
        <c:ser>
          <c:idx val="50"/>
          <c:order val="50"/>
          <c:tx>
            <c:strRef>
              <c:f>'Selección final metodología'!$A$54</c:f>
              <c:strCache>
                <c:ptCount val="1"/>
                <c:pt idx="0">
                  <c:v>Pinus sylvestris Sistema Central</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metodología'!$B$54:$F$54</c:f>
              <c:numCache>
                <c:formatCode>0.000</c:formatCode>
                <c:ptCount val="5"/>
                <c:pt idx="0">
                  <c:v>2.0214699176883854E-2</c:v>
                </c:pt>
                <c:pt idx="1">
                  <c:v>5.0853708186201808E-2</c:v>
                </c:pt>
                <c:pt idx="2">
                  <c:v>6.102444982344217E-2</c:v>
                </c:pt>
                <c:pt idx="3">
                  <c:v>0.14704079816421481</c:v>
                </c:pt>
                <c:pt idx="4">
                  <c:v>0.16804662647338833</c:v>
                </c:pt>
              </c:numCache>
            </c:numRef>
          </c:val>
          <c:smooth val="0"/>
        </c:ser>
        <c:ser>
          <c:idx val="51"/>
          <c:order val="51"/>
          <c:tx>
            <c:strRef>
              <c:f>'Selección final metodología'!$A$55</c:f>
              <c:strCache>
                <c:ptCount val="1"/>
                <c:pt idx="0">
                  <c:v>Pinus sylvestris Sistema Ibérico</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metodología'!$B$55:$F$55</c:f>
              <c:numCache>
                <c:formatCode>0.000</c:formatCode>
                <c:ptCount val="5"/>
                <c:pt idx="0">
                  <c:v>3.1639288306640985E-2</c:v>
                </c:pt>
                <c:pt idx="1">
                  <c:v>3.9549110383301236E-2</c:v>
                </c:pt>
                <c:pt idx="2">
                  <c:v>4.7458932459961474E-2</c:v>
                </c:pt>
                <c:pt idx="3">
                  <c:v>9.1964080011148003E-2</c:v>
                </c:pt>
                <c:pt idx="4">
                  <c:v>0.10795822541769297</c:v>
                </c:pt>
              </c:numCache>
            </c:numRef>
          </c:val>
          <c:smooth val="0"/>
        </c:ser>
        <c:ser>
          <c:idx val="52"/>
          <c:order val="52"/>
          <c:tx>
            <c:strRef>
              <c:f>'Selección final metodología'!$A$56</c:f>
              <c:strCache>
                <c:ptCount val="1"/>
                <c:pt idx="0">
                  <c:v>Pinus sylvestris Pirineos</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metodología'!$B$56:$F$56</c:f>
              <c:numCache>
                <c:formatCode>0.000</c:formatCode>
                <c:ptCount val="5"/>
                <c:pt idx="0">
                  <c:v>4.3635426256541009E-2</c:v>
                </c:pt>
                <c:pt idx="1">
                  <c:v>5.4544282820676256E-2</c:v>
                </c:pt>
                <c:pt idx="2">
                  <c:v>6.545313938481151E-2</c:v>
                </c:pt>
                <c:pt idx="3">
                  <c:v>0.10950251840392226</c:v>
                </c:pt>
                <c:pt idx="4">
                  <c:v>0.16625264941496601</c:v>
                </c:pt>
              </c:numCache>
            </c:numRef>
          </c:val>
          <c:smooth val="0"/>
        </c:ser>
        <c:ser>
          <c:idx val="53"/>
          <c:order val="53"/>
          <c:tx>
            <c:strRef>
              <c:f>'Selección final metodología'!$A$57</c:f>
              <c:strCache>
                <c:ptCount val="1"/>
                <c:pt idx="0">
                  <c:v>Pinus sylvestris (Resto)</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metodología'!$B$57:$F$57</c:f>
              <c:numCache>
                <c:formatCode>0.000</c:formatCode>
                <c:ptCount val="5"/>
                <c:pt idx="0">
                  <c:v>3.1829804580021943E-2</c:v>
                </c:pt>
                <c:pt idx="1">
                  <c:v>4.8315700463393098E-2</c:v>
                </c:pt>
                <c:pt idx="2">
                  <c:v>5.797884055607172E-2</c:v>
                </c:pt>
                <c:pt idx="3">
                  <c:v>0.11616913219309503</c:v>
                </c:pt>
                <c:pt idx="4">
                  <c:v>0.14741916710201577</c:v>
                </c:pt>
              </c:numCache>
            </c:numRef>
          </c:val>
          <c:smooth val="0"/>
        </c:ser>
        <c:ser>
          <c:idx val="54"/>
          <c:order val="54"/>
          <c:tx>
            <c:strRef>
              <c:f>'Selección final metodología'!$A$58</c:f>
              <c:strCache>
                <c:ptCount val="1"/>
                <c:pt idx="0">
                  <c:v>Pinus uncinata</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metodología'!$B$58:$F$58</c:f>
              <c:numCache>
                <c:formatCode>0.000</c:formatCode>
                <c:ptCount val="5"/>
                <c:pt idx="0">
                  <c:v>3.6603166366973285E-2</c:v>
                </c:pt>
                <c:pt idx="1">
                  <c:v>4.5753957958716604E-2</c:v>
                </c:pt>
                <c:pt idx="2">
                  <c:v>9.0140403287118462E-2</c:v>
                </c:pt>
                <c:pt idx="3">
                  <c:v>0.10516380383497152</c:v>
                </c:pt>
                <c:pt idx="4">
                  <c:v>0.12018720438282458</c:v>
                </c:pt>
              </c:numCache>
            </c:numRef>
          </c:val>
          <c:smooth val="0"/>
        </c:ser>
        <c:ser>
          <c:idx val="55"/>
          <c:order val="55"/>
          <c:tx>
            <c:strRef>
              <c:f>'Selección final metodología'!$A$59</c:f>
              <c:strCache>
                <c:ptCount val="1"/>
                <c:pt idx="0">
                  <c:v>Pistacia terebinthus</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metodología'!$B$59:$F$59</c:f>
              <c:numCache>
                <c:formatCode>0.000</c:formatCode>
                <c:ptCount val="5"/>
                <c:pt idx="0">
                  <c:v>4.2905184381875593E-2</c:v>
                </c:pt>
                <c:pt idx="1">
                  <c:v>0.11203292161465764</c:v>
                </c:pt>
                <c:pt idx="2">
                  <c:v>0.20516585167863827</c:v>
                </c:pt>
                <c:pt idx="3">
                  <c:v>0.34790001540782683</c:v>
                </c:pt>
                <c:pt idx="4">
                  <c:v>0.39760001760894487</c:v>
                </c:pt>
              </c:numCache>
            </c:numRef>
          </c:val>
          <c:smooth val="0"/>
        </c:ser>
        <c:ser>
          <c:idx val="56"/>
          <c:order val="56"/>
          <c:tx>
            <c:strRef>
              <c:f>'Selección final metodología'!$A$60</c:f>
              <c:strCache>
                <c:ptCount val="1"/>
                <c:pt idx="0">
                  <c:v>Platanus hispanica</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metodología'!$B$60:$F$60</c:f>
              <c:numCache>
                <c:formatCode>0.000</c:formatCode>
                <c:ptCount val="5"/>
                <c:pt idx="0">
                  <c:v>0.20654286732427818</c:v>
                </c:pt>
                <c:pt idx="1">
                  <c:v>0.45940713286933604</c:v>
                </c:pt>
                <c:pt idx="2">
                  <c:v>0.67165279962424007</c:v>
                </c:pt>
                <c:pt idx="3">
                  <c:v>0.92277386354672075</c:v>
                </c:pt>
                <c:pt idx="4">
                  <c:v>1.2630946245650829</c:v>
                </c:pt>
              </c:numCache>
            </c:numRef>
          </c:val>
          <c:smooth val="0"/>
        </c:ser>
        <c:ser>
          <c:idx val="57"/>
          <c:order val="57"/>
          <c:tx>
            <c:strRef>
              <c:f>'Selección final metodología'!$A$61</c:f>
              <c:strCache>
                <c:ptCount val="1"/>
                <c:pt idx="0">
                  <c:v>Populus alba</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metodología'!$B$61:$F$61</c:f>
              <c:numCache>
                <c:formatCode>0.000</c:formatCode>
                <c:ptCount val="5"/>
                <c:pt idx="0">
                  <c:v>0.20654286732427818</c:v>
                </c:pt>
                <c:pt idx="1">
                  <c:v>0.45940713286933604</c:v>
                </c:pt>
                <c:pt idx="2">
                  <c:v>0.67165279962424007</c:v>
                </c:pt>
                <c:pt idx="3">
                  <c:v>0.92277386354672075</c:v>
                </c:pt>
                <c:pt idx="4">
                  <c:v>1.2630946245650829</c:v>
                </c:pt>
              </c:numCache>
            </c:numRef>
          </c:val>
          <c:smooth val="0"/>
        </c:ser>
        <c:ser>
          <c:idx val="58"/>
          <c:order val="58"/>
          <c:tx>
            <c:strRef>
              <c:f>'Selección final metodología'!$A$62</c:f>
              <c:strCache>
                <c:ptCount val="1"/>
                <c:pt idx="0">
                  <c:v>Populus nigra</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metodología'!$B$62:$F$62</c:f>
              <c:numCache>
                <c:formatCode>0.000</c:formatCode>
                <c:ptCount val="5"/>
                <c:pt idx="0">
                  <c:v>0.28554224648832599</c:v>
                </c:pt>
                <c:pt idx="1">
                  <c:v>0.72002933854517226</c:v>
                </c:pt>
                <c:pt idx="2">
                  <c:v>1.0064449533150317</c:v>
                </c:pt>
                <c:pt idx="3">
                  <c:v>1.44499968749023</c:v>
                </c:pt>
                <c:pt idx="4">
                  <c:v>1.8956012546262551</c:v>
                </c:pt>
              </c:numCache>
            </c:numRef>
          </c:val>
          <c:smooth val="0"/>
        </c:ser>
        <c:ser>
          <c:idx val="59"/>
          <c:order val="59"/>
          <c:tx>
            <c:strRef>
              <c:f>'Selección final metodología'!$A$63</c:f>
              <c:strCache>
                <c:ptCount val="1"/>
                <c:pt idx="0">
                  <c:v>Populus x canadensis</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metodología'!$B$63:$F$63</c:f>
              <c:numCache>
                <c:formatCode>0.000</c:formatCode>
                <c:ptCount val="5"/>
                <c:pt idx="0">
                  <c:v>0.33838309337864286</c:v>
                </c:pt>
                <c:pt idx="1">
                  <c:v>0.80520818838555264</c:v>
                </c:pt>
                <c:pt idx="2">
                  <c:v>1.1774018251252529</c:v>
                </c:pt>
                <c:pt idx="3">
                  <c:v>1.5544798963783533</c:v>
                </c:pt>
                <c:pt idx="4">
                  <c:v>2.0237169627228608</c:v>
                </c:pt>
              </c:numCache>
            </c:numRef>
          </c:val>
          <c:smooth val="0"/>
        </c:ser>
        <c:ser>
          <c:idx val="60"/>
          <c:order val="60"/>
          <c:tx>
            <c:strRef>
              <c:f>'Selección final metodología'!$A$64</c:f>
              <c:strCache>
                <c:ptCount val="1"/>
                <c:pt idx="0">
                  <c:v>Prunus spp.</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metodología'!$B$64:$F$64</c:f>
              <c:numCache>
                <c:formatCode>0.000</c:formatCode>
                <c:ptCount val="5"/>
                <c:pt idx="0">
                  <c:v>0.14975536130234138</c:v>
                </c:pt>
                <c:pt idx="1">
                  <c:v>0.18719420162792669</c:v>
                </c:pt>
                <c:pt idx="2">
                  <c:v>0.22463304195351205</c:v>
                </c:pt>
                <c:pt idx="3">
                  <c:v>0.26207188227909739</c:v>
                </c:pt>
                <c:pt idx="4">
                  <c:v>0.29951072260468276</c:v>
                </c:pt>
              </c:numCache>
            </c:numRef>
          </c:val>
          <c:smooth val="0"/>
        </c:ser>
        <c:ser>
          <c:idx val="61"/>
          <c:order val="61"/>
          <c:tx>
            <c:strRef>
              <c:f>'Selección final metodología'!$A$65</c:f>
              <c:strCache>
                <c:ptCount val="1"/>
                <c:pt idx="0">
                  <c:v>Pseudotsuga menziesii</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metodología'!$B$65:$F$65</c:f>
              <c:numCache>
                <c:formatCode>0.000</c:formatCode>
                <c:ptCount val="5"/>
                <c:pt idx="0">
                  <c:v>0.34624258854033912</c:v>
                </c:pt>
                <c:pt idx="1">
                  <c:v>0.63416449134559993</c:v>
                </c:pt>
                <c:pt idx="2">
                  <c:v>1.2964681323565146</c:v>
                </c:pt>
                <c:pt idx="3">
                  <c:v>2.8776869027198626</c:v>
                </c:pt>
                <c:pt idx="4">
                  <c:v>3.4048640619376549</c:v>
                </c:pt>
              </c:numCache>
            </c:numRef>
          </c:val>
          <c:smooth val="0"/>
        </c:ser>
        <c:ser>
          <c:idx val="62"/>
          <c:order val="62"/>
          <c:tx>
            <c:strRef>
              <c:f>'Selección final metodología'!$A$66</c:f>
              <c:strCache>
                <c:ptCount val="1"/>
                <c:pt idx="0">
                  <c:v>Pyrus spp.</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metodología'!$B$66:$F$66</c:f>
              <c:numCache>
                <c:formatCode>0.000</c:formatCode>
                <c:ptCount val="5"/>
                <c:pt idx="0">
                  <c:v>0.14975536130234138</c:v>
                </c:pt>
                <c:pt idx="1">
                  <c:v>0.18719420162792669</c:v>
                </c:pt>
                <c:pt idx="2">
                  <c:v>0.22463304195351205</c:v>
                </c:pt>
                <c:pt idx="3">
                  <c:v>0.26207188227909739</c:v>
                </c:pt>
                <c:pt idx="4">
                  <c:v>0.29951072260468276</c:v>
                </c:pt>
              </c:numCache>
            </c:numRef>
          </c:val>
          <c:smooth val="0"/>
        </c:ser>
        <c:ser>
          <c:idx val="63"/>
          <c:order val="63"/>
          <c:tx>
            <c:strRef>
              <c:f>'Selección final metodología'!$A$67</c:f>
              <c:strCache>
                <c:ptCount val="1"/>
                <c:pt idx="0">
                  <c:v>Quercus canariensis</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metodología'!$B$67:$F$67</c:f>
              <c:numCache>
                <c:formatCode>0.000</c:formatCode>
                <c:ptCount val="5"/>
                <c:pt idx="0">
                  <c:v>4.8828839094095237E-2</c:v>
                </c:pt>
                <c:pt idx="1">
                  <c:v>6.1036048867619055E-2</c:v>
                </c:pt>
                <c:pt idx="2">
                  <c:v>0.12721465554673028</c:v>
                </c:pt>
                <c:pt idx="3">
                  <c:v>0.148417098137852</c:v>
                </c:pt>
                <c:pt idx="4">
                  <c:v>0.16961954072897373</c:v>
                </c:pt>
              </c:numCache>
            </c:numRef>
          </c:val>
          <c:smooth val="0"/>
        </c:ser>
        <c:ser>
          <c:idx val="64"/>
          <c:order val="64"/>
          <c:tx>
            <c:strRef>
              <c:f>'Selección final metodología'!$A$68</c:f>
              <c:strCache>
                <c:ptCount val="1"/>
                <c:pt idx="0">
                  <c:v>Quercus faginea</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metodología'!$B$68:$F$68</c:f>
              <c:numCache>
                <c:formatCode>0.000</c:formatCode>
                <c:ptCount val="5"/>
                <c:pt idx="0">
                  <c:v>4.1003485800888813E-2</c:v>
                </c:pt>
                <c:pt idx="1">
                  <c:v>5.1254357251111014E-2</c:v>
                </c:pt>
                <c:pt idx="2">
                  <c:v>9.7556673966789992E-2</c:v>
                </c:pt>
                <c:pt idx="3">
                  <c:v>0.11381611962792167</c:v>
                </c:pt>
                <c:pt idx="4">
                  <c:v>0.13007556528905334</c:v>
                </c:pt>
              </c:numCache>
            </c:numRef>
          </c:val>
          <c:smooth val="0"/>
        </c:ser>
        <c:ser>
          <c:idx val="65"/>
          <c:order val="65"/>
          <c:tx>
            <c:strRef>
              <c:f>'Selección final metodología'!$A$69</c:f>
              <c:strCache>
                <c:ptCount val="1"/>
                <c:pt idx="0">
                  <c:v>Quercus ilex</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metodología'!$B$69:$F$69</c:f>
              <c:numCache>
                <c:formatCode>0.000</c:formatCode>
                <c:ptCount val="5"/>
                <c:pt idx="0">
                  <c:v>4.8090381579979975E-2</c:v>
                </c:pt>
                <c:pt idx="1">
                  <c:v>6.0112976974974974E-2</c:v>
                </c:pt>
                <c:pt idx="2">
                  <c:v>7.2135572369969952E-2</c:v>
                </c:pt>
                <c:pt idx="3">
                  <c:v>8.4158167764964945E-2</c:v>
                </c:pt>
                <c:pt idx="4">
                  <c:v>9.6180763159959951E-2</c:v>
                </c:pt>
              </c:numCache>
            </c:numRef>
          </c:val>
          <c:smooth val="0"/>
        </c:ser>
        <c:ser>
          <c:idx val="66"/>
          <c:order val="66"/>
          <c:tx>
            <c:strRef>
              <c:f>'Selección final metodología'!$A$70</c:f>
              <c:strCache>
                <c:ptCount val="1"/>
                <c:pt idx="0">
                  <c:v>Quercus petraea</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metodología'!$B$70:$F$70</c:f>
              <c:numCache>
                <c:formatCode>0.000</c:formatCode>
                <c:ptCount val="5"/>
                <c:pt idx="0">
                  <c:v>5.5638922658708602E-2</c:v>
                </c:pt>
                <c:pt idx="1">
                  <c:v>6.9548653323385751E-2</c:v>
                </c:pt>
                <c:pt idx="2">
                  <c:v>0.17900063987112114</c:v>
                </c:pt>
                <c:pt idx="3">
                  <c:v>0.20883407984964134</c:v>
                </c:pt>
                <c:pt idx="4">
                  <c:v>0.23866751982816153</c:v>
                </c:pt>
              </c:numCache>
            </c:numRef>
          </c:val>
          <c:smooth val="0"/>
        </c:ser>
        <c:ser>
          <c:idx val="67"/>
          <c:order val="67"/>
          <c:tx>
            <c:strRef>
              <c:f>'Selección final metodología'!$A$71</c:f>
              <c:strCache>
                <c:ptCount val="1"/>
                <c:pt idx="0">
                  <c:v>Quercus pubescens (Q. humilis)</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metodología'!$B$71:$F$71</c:f>
              <c:numCache>
                <c:formatCode>0.000</c:formatCode>
                <c:ptCount val="5"/>
                <c:pt idx="0">
                  <c:v>6.8552185747233832E-2</c:v>
                </c:pt>
                <c:pt idx="1">
                  <c:v>0.12296494917176243</c:v>
                </c:pt>
                <c:pt idx="2">
                  <c:v>0.14755793900611491</c:v>
                </c:pt>
                <c:pt idx="3">
                  <c:v>0.23083478214715636</c:v>
                </c:pt>
                <c:pt idx="4">
                  <c:v>0.26381117959675016</c:v>
                </c:pt>
              </c:numCache>
            </c:numRef>
          </c:val>
          <c:smooth val="0"/>
        </c:ser>
        <c:ser>
          <c:idx val="68"/>
          <c:order val="68"/>
          <c:tx>
            <c:strRef>
              <c:f>'Selección final metodología'!$A$72</c:f>
              <c:strCache>
                <c:ptCount val="1"/>
                <c:pt idx="0">
                  <c:v>Quercus pyrenaica</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metodología'!$B$72:$F$72</c:f>
              <c:numCache>
                <c:formatCode>0.000</c:formatCode>
                <c:ptCount val="5"/>
                <c:pt idx="0">
                  <c:v>5.3290218724743897E-2</c:v>
                </c:pt>
                <c:pt idx="1">
                  <c:v>6.6612773405929887E-2</c:v>
                </c:pt>
                <c:pt idx="2">
                  <c:v>0.14793193211471187</c:v>
                </c:pt>
                <c:pt idx="3">
                  <c:v>0.17258725413383053</c:v>
                </c:pt>
                <c:pt idx="4">
                  <c:v>0.19724257615294916</c:v>
                </c:pt>
              </c:numCache>
            </c:numRef>
          </c:val>
          <c:smooth val="0"/>
        </c:ser>
        <c:ser>
          <c:idx val="69"/>
          <c:order val="69"/>
          <c:tx>
            <c:strRef>
              <c:f>'Selección final metodología'!$A$73</c:f>
              <c:strCache>
                <c:ptCount val="1"/>
                <c:pt idx="0">
                  <c:v>Quercus robur</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metodología'!$B$73:$F$73</c:f>
              <c:numCache>
                <c:formatCode>0.000</c:formatCode>
                <c:ptCount val="5"/>
                <c:pt idx="0">
                  <c:v>7.0712917709178133E-2</c:v>
                </c:pt>
                <c:pt idx="1">
                  <c:v>0.16039138980188405</c:v>
                </c:pt>
                <c:pt idx="2">
                  <c:v>0.1924696677622609</c:v>
                </c:pt>
                <c:pt idx="3">
                  <c:v>0.2245479457226377</c:v>
                </c:pt>
                <c:pt idx="4">
                  <c:v>0.3391470055560048</c:v>
                </c:pt>
              </c:numCache>
            </c:numRef>
          </c:val>
          <c:smooth val="0"/>
        </c:ser>
        <c:ser>
          <c:idx val="70"/>
          <c:order val="70"/>
          <c:tx>
            <c:strRef>
              <c:f>'Selección final metodología'!$A$74</c:f>
              <c:strCache>
                <c:ptCount val="1"/>
                <c:pt idx="0">
                  <c:v>Quercus rubra</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metodología'!$B$74:$F$74</c:f>
              <c:numCache>
                <c:formatCode>0.000</c:formatCode>
                <c:ptCount val="5"/>
                <c:pt idx="0">
                  <c:v>7.2189347795831374E-2</c:v>
                </c:pt>
                <c:pt idx="1">
                  <c:v>0.18461714815369659</c:v>
                </c:pt>
                <c:pt idx="2">
                  <c:v>0.22154057778443589</c:v>
                </c:pt>
                <c:pt idx="3">
                  <c:v>0.34725191193922511</c:v>
                </c:pt>
                <c:pt idx="4">
                  <c:v>0.39685932793054296</c:v>
                </c:pt>
              </c:numCache>
            </c:numRef>
          </c:val>
          <c:smooth val="0"/>
        </c:ser>
        <c:ser>
          <c:idx val="71"/>
          <c:order val="71"/>
          <c:tx>
            <c:strRef>
              <c:f>'Selección final metodología'!$A$75</c:f>
              <c:strCache>
                <c:ptCount val="1"/>
                <c:pt idx="0">
                  <c:v>Quercus suber</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metodología'!$B$75:$F$75</c:f>
              <c:numCache>
                <c:formatCode>0.000</c:formatCode>
                <c:ptCount val="5"/>
                <c:pt idx="0">
                  <c:v>7.411115835844527E-2</c:v>
                </c:pt>
                <c:pt idx="1">
                  <c:v>9.2638947948056591E-2</c:v>
                </c:pt>
                <c:pt idx="2">
                  <c:v>0.11116673753766791</c:v>
                </c:pt>
                <c:pt idx="3">
                  <c:v>0.12969452712727922</c:v>
                </c:pt>
                <c:pt idx="4">
                  <c:v>0.14822231671689054</c:v>
                </c:pt>
              </c:numCache>
            </c:numRef>
          </c:val>
          <c:smooth val="0"/>
        </c:ser>
        <c:ser>
          <c:idx val="72"/>
          <c:order val="72"/>
          <c:tx>
            <c:strRef>
              <c:f>'Selección final metodología'!$A$76</c:f>
              <c:strCache>
                <c:ptCount val="1"/>
                <c:pt idx="0">
                  <c:v>Rhamnus alaternus</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metodología'!$B$76:$F$76</c:f>
              <c:numCache>
                <c:formatCode>0.000</c:formatCode>
                <c:ptCount val="5"/>
                <c:pt idx="0">
                  <c:v>4.2905184381875593E-2</c:v>
                </c:pt>
                <c:pt idx="1">
                  <c:v>0.11203292161465764</c:v>
                </c:pt>
                <c:pt idx="2">
                  <c:v>0.20516585167863827</c:v>
                </c:pt>
                <c:pt idx="3">
                  <c:v>0.34790001540782683</c:v>
                </c:pt>
                <c:pt idx="4">
                  <c:v>0.39760001760894487</c:v>
                </c:pt>
              </c:numCache>
            </c:numRef>
          </c:val>
          <c:smooth val="0"/>
        </c:ser>
        <c:ser>
          <c:idx val="73"/>
          <c:order val="73"/>
          <c:tx>
            <c:strRef>
              <c:f>'Selección final metodología'!$A$77</c:f>
              <c:strCache>
                <c:ptCount val="1"/>
                <c:pt idx="0">
                  <c:v>Robinia pseudacacia</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metodología'!$B$77:$F$77</c:f>
              <c:numCache>
                <c:formatCode>0.000</c:formatCode>
                <c:ptCount val="5"/>
                <c:pt idx="0">
                  <c:v>6.0069243142107612E-2</c:v>
                </c:pt>
                <c:pt idx="1">
                  <c:v>0.15928794784284833</c:v>
                </c:pt>
                <c:pt idx="2">
                  <c:v>0.19114553741141802</c:v>
                </c:pt>
                <c:pt idx="3">
                  <c:v>0.34409212823611068</c:v>
                </c:pt>
                <c:pt idx="4">
                  <c:v>0.39324814655555496</c:v>
                </c:pt>
              </c:numCache>
            </c:numRef>
          </c:val>
          <c:smooth val="0"/>
        </c:ser>
        <c:ser>
          <c:idx val="74"/>
          <c:order val="74"/>
          <c:tx>
            <c:strRef>
              <c:f>'Selección final metodología'!$A$78</c:f>
              <c:strCache>
                <c:ptCount val="1"/>
                <c:pt idx="0">
                  <c:v>Salix spp.</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metodología'!$B$78:$F$78</c:f>
              <c:numCache>
                <c:formatCode>0.000</c:formatCode>
                <c:ptCount val="5"/>
                <c:pt idx="0">
                  <c:v>0.3086707442568718</c:v>
                </c:pt>
                <c:pt idx="1">
                  <c:v>0.57498705887181834</c:v>
                </c:pt>
                <c:pt idx="2">
                  <c:v>0.89565940633103525</c:v>
                </c:pt>
                <c:pt idx="3">
                  <c:v>1.2444439508529392</c:v>
                </c:pt>
                <c:pt idx="4">
                  <c:v>1.3659285306119766</c:v>
                </c:pt>
              </c:numCache>
            </c:numRef>
          </c:val>
          <c:smooth val="0"/>
        </c:ser>
        <c:ser>
          <c:idx val="75"/>
          <c:order val="75"/>
          <c:tx>
            <c:strRef>
              <c:f>'Selección final metodología'!$A$79</c:f>
              <c:strCache>
                <c:ptCount val="1"/>
                <c:pt idx="0">
                  <c:v>Sorbus spp.</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metodología'!$B$79:$F$79</c:f>
              <c:numCache>
                <c:formatCode>0.000</c:formatCode>
                <c:ptCount val="5"/>
                <c:pt idx="0">
                  <c:v>0.16514543481629892</c:v>
                </c:pt>
                <c:pt idx="1">
                  <c:v>0.20643179352037366</c:v>
                </c:pt>
                <c:pt idx="2">
                  <c:v>0.24771815222444837</c:v>
                </c:pt>
                <c:pt idx="3">
                  <c:v>0.28900451092852308</c:v>
                </c:pt>
                <c:pt idx="4">
                  <c:v>0.33029086963259785</c:v>
                </c:pt>
              </c:numCache>
            </c:numRef>
          </c:val>
          <c:smooth val="0"/>
        </c:ser>
        <c:ser>
          <c:idx val="76"/>
          <c:order val="76"/>
          <c:tx>
            <c:strRef>
              <c:f>'Selección final metodología'!$A$80</c:f>
              <c:strCache>
                <c:ptCount val="1"/>
                <c:pt idx="0">
                  <c:v>Tamarix spp.</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metodología'!$B$80:$F$80</c:f>
              <c:numCache>
                <c:formatCode>0.000</c:formatCode>
                <c:ptCount val="5"/>
                <c:pt idx="0">
                  <c:v>2.8664770594541707E-2</c:v>
                </c:pt>
                <c:pt idx="1">
                  <c:v>6.6618224487514713E-2</c:v>
                </c:pt>
                <c:pt idx="2">
                  <c:v>7.9941869385017642E-2</c:v>
                </c:pt>
                <c:pt idx="3">
                  <c:v>0.14012313740352317</c:v>
                </c:pt>
                <c:pt idx="4">
                  <c:v>0.16014072846116933</c:v>
                </c:pt>
              </c:numCache>
            </c:numRef>
          </c:val>
          <c:smooth val="0"/>
        </c:ser>
        <c:ser>
          <c:idx val="77"/>
          <c:order val="77"/>
          <c:tx>
            <c:strRef>
              <c:f>'Selección final metodología'!$A$81</c:f>
              <c:strCache>
                <c:ptCount val="1"/>
                <c:pt idx="0">
                  <c:v>Taxus baccata</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metodología'!$B$81:$F$81</c:f>
              <c:numCache>
                <c:formatCode>0.000</c:formatCode>
                <c:ptCount val="5"/>
                <c:pt idx="0">
                  <c:v>3.1829804580021943E-2</c:v>
                </c:pt>
                <c:pt idx="1">
                  <c:v>4.8315700463393098E-2</c:v>
                </c:pt>
                <c:pt idx="2">
                  <c:v>5.797884055607172E-2</c:v>
                </c:pt>
                <c:pt idx="3">
                  <c:v>0.11616913219309503</c:v>
                </c:pt>
                <c:pt idx="4">
                  <c:v>0.14741916710201577</c:v>
                </c:pt>
              </c:numCache>
            </c:numRef>
          </c:val>
          <c:smooth val="0"/>
        </c:ser>
        <c:ser>
          <c:idx val="78"/>
          <c:order val="78"/>
          <c:tx>
            <c:strRef>
              <c:f>'Selección final metodología'!$A$82</c:f>
              <c:strCache>
                <c:ptCount val="1"/>
                <c:pt idx="0">
                  <c:v>Tetraclinis articulata</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metodología'!$B$82:$F$82</c:f>
              <c:numCache>
                <c:formatCode>0.000</c:formatCode>
                <c:ptCount val="5"/>
                <c:pt idx="0">
                  <c:v>2.8664770594541707E-2</c:v>
                </c:pt>
                <c:pt idx="1">
                  <c:v>6.6618224487514713E-2</c:v>
                </c:pt>
                <c:pt idx="2">
                  <c:v>7.9941869385017642E-2</c:v>
                </c:pt>
                <c:pt idx="3">
                  <c:v>0.14012313740352317</c:v>
                </c:pt>
                <c:pt idx="4">
                  <c:v>0.16014072846116933</c:v>
                </c:pt>
              </c:numCache>
            </c:numRef>
          </c:val>
          <c:smooth val="0"/>
        </c:ser>
        <c:ser>
          <c:idx val="79"/>
          <c:order val="79"/>
          <c:tx>
            <c:strRef>
              <c:f>'Selección final metodología'!$A$83</c:f>
              <c:strCache>
                <c:ptCount val="1"/>
                <c:pt idx="0">
                  <c:v>Thuja spp.</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metodología'!$B$83:$F$83</c:f>
              <c:numCache>
                <c:formatCode>0.000</c:formatCode>
                <c:ptCount val="5"/>
                <c:pt idx="0">
                  <c:v>1.138475443544619E-2</c:v>
                </c:pt>
                <c:pt idx="1">
                  <c:v>1.4230943044307736E-2</c:v>
                </c:pt>
                <c:pt idx="2">
                  <c:v>1.7077131653169285E-2</c:v>
                </c:pt>
                <c:pt idx="3">
                  <c:v>1.9923320262030829E-2</c:v>
                </c:pt>
                <c:pt idx="4">
                  <c:v>2.276950887089238E-2</c:v>
                </c:pt>
              </c:numCache>
            </c:numRef>
          </c:val>
          <c:smooth val="0"/>
        </c:ser>
        <c:ser>
          <c:idx val="80"/>
          <c:order val="80"/>
          <c:tx>
            <c:strRef>
              <c:f>'Selección final metodología'!$A$84</c:f>
              <c:strCache>
                <c:ptCount val="1"/>
                <c:pt idx="0">
                  <c:v>Tilia spp.</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metodología'!$B$84:$F$84</c:f>
              <c:numCache>
                <c:formatCode>0.000</c:formatCode>
                <c:ptCount val="5"/>
                <c:pt idx="0">
                  <c:v>5.1766168756151212E-2</c:v>
                </c:pt>
                <c:pt idx="1">
                  <c:v>6.3233838338349224E-2</c:v>
                </c:pt>
                <c:pt idx="2">
                  <c:v>8.7489025596783121E-2</c:v>
                </c:pt>
                <c:pt idx="3">
                  <c:v>0.1165445654608588</c:v>
                </c:pt>
                <c:pt idx="4">
                  <c:v>0.13319378909812432</c:v>
                </c:pt>
              </c:numCache>
            </c:numRef>
          </c:val>
          <c:smooth val="0"/>
        </c:ser>
        <c:ser>
          <c:idx val="81"/>
          <c:order val="81"/>
          <c:tx>
            <c:strRef>
              <c:f>'Selección final metodología'!$A$85</c:f>
              <c:strCache>
                <c:ptCount val="1"/>
                <c:pt idx="0">
                  <c:v>Ulmus spp.</c:v>
                </c:pt>
              </c:strCache>
            </c:strRef>
          </c:tx>
          <c:marker>
            <c:symbol val="none"/>
          </c:marker>
          <c:cat>
            <c:strRef>
              <c:f>'Selección final metodología'!$B$3:$F$3</c:f>
              <c:strCache>
                <c:ptCount val="5"/>
                <c:pt idx="0">
                  <c:v>Abs 20 
(t CO2/pie)</c:v>
                </c:pt>
                <c:pt idx="1">
                  <c:v>Abs 25 
(t CO2/pie)</c:v>
                </c:pt>
                <c:pt idx="2">
                  <c:v>Abs 30 
(t CO2/pie)</c:v>
                </c:pt>
                <c:pt idx="3">
                  <c:v>Abs 35 
(t CO2/pie) </c:v>
                </c:pt>
                <c:pt idx="4">
                  <c:v>Abs 40 
(t CO2/pie)</c:v>
                </c:pt>
              </c:strCache>
            </c:strRef>
          </c:cat>
          <c:val>
            <c:numRef>
              <c:f>'Selección final metodología'!$B$85:$F$85</c:f>
              <c:numCache>
                <c:formatCode>0.000</c:formatCode>
                <c:ptCount val="5"/>
                <c:pt idx="0">
                  <c:v>0.18032959999999998</c:v>
                </c:pt>
                <c:pt idx="1">
                  <c:v>0.225412</c:v>
                </c:pt>
                <c:pt idx="2">
                  <c:v>0.27049440000000002</c:v>
                </c:pt>
                <c:pt idx="3">
                  <c:v>0.50376480000000001</c:v>
                </c:pt>
                <c:pt idx="4">
                  <c:v>0.5757312</c:v>
                </c:pt>
              </c:numCache>
            </c:numRef>
          </c:val>
          <c:smooth val="0"/>
        </c:ser>
        <c:dLbls>
          <c:showLegendKey val="0"/>
          <c:showVal val="0"/>
          <c:showCatName val="0"/>
          <c:showSerName val="0"/>
          <c:showPercent val="0"/>
          <c:showBubbleSize val="0"/>
        </c:dLbls>
        <c:marker val="1"/>
        <c:smooth val="0"/>
        <c:axId val="297757696"/>
        <c:axId val="470387520"/>
      </c:lineChart>
      <c:catAx>
        <c:axId val="29775769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470387520"/>
        <c:crosses val="autoZero"/>
        <c:auto val="1"/>
        <c:lblAlgn val="ctr"/>
        <c:lblOffset val="100"/>
        <c:noMultiLvlLbl val="0"/>
      </c:catAx>
      <c:valAx>
        <c:axId val="470387520"/>
        <c:scaling>
          <c:orientation val="minMax"/>
        </c:scaling>
        <c:delete val="0"/>
        <c:axPos val="l"/>
        <c:majorGridlines/>
        <c:numFmt formatCode="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297757696"/>
        <c:crosses val="autoZero"/>
        <c:crossBetween val="between"/>
      </c:valAx>
    </c:plotArea>
    <c:legend>
      <c:legendPos val="r"/>
      <c:layout>
        <c:manualLayout>
          <c:xMode val="edge"/>
          <c:yMode val="edge"/>
          <c:x val="0.71464393179538621"/>
          <c:y val="5.008347245409015E-3"/>
          <c:w val="0.27131394182547641"/>
          <c:h val="0.99248747913188651"/>
        </c:manualLayout>
      </c:layout>
      <c:overlay val="0"/>
      <c:txPr>
        <a:bodyPr/>
        <a:lstStyle/>
        <a:p>
          <a:pPr>
            <a:defRPr sz="710"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8" Type="http://schemas.openxmlformats.org/officeDocument/2006/relationships/hyperlink" Target="#'1. Datos generales proyecto'!L39"/><Relationship Id="rId3" Type="http://schemas.openxmlformats.org/officeDocument/2006/relationships/image" Target="../media/image1.wmf"/><Relationship Id="rId7" Type="http://schemas.openxmlformats.org/officeDocument/2006/relationships/hyperlink" Target="#'1. Datos generales proyecto'!L37"/><Relationship Id="rId2" Type="http://schemas.openxmlformats.org/officeDocument/2006/relationships/hyperlink" Target="#'Calculadora Absorciones'!U46"/><Relationship Id="rId1" Type="http://schemas.openxmlformats.org/officeDocument/2006/relationships/image" Target="../media/image4.jpeg"/><Relationship Id="rId6" Type="http://schemas.openxmlformats.org/officeDocument/2006/relationships/hyperlink" Target="#'1. Datos generales proyecto'!L34"/><Relationship Id="rId11" Type="http://schemas.openxmlformats.org/officeDocument/2006/relationships/image" Target="../media/image5.jpeg"/><Relationship Id="rId5" Type="http://schemas.openxmlformats.org/officeDocument/2006/relationships/hyperlink" Target="#'1. Datos generales proyecto'!L41"/><Relationship Id="rId10" Type="http://schemas.openxmlformats.org/officeDocument/2006/relationships/hyperlink" Target="#'Contenido e instrucciones'!E5"/><Relationship Id="rId4" Type="http://schemas.openxmlformats.org/officeDocument/2006/relationships/hyperlink" Target="#'1. Datos generales proyecto'!L29"/><Relationship Id="rId9" Type="http://schemas.openxmlformats.org/officeDocument/2006/relationships/hyperlink" Target="#'2. Estimaci&#243;n absorci&#243;n total'!A1"/></Relationships>
</file>

<file path=xl/drawings/_rels/drawing4.xml.rels><?xml version="1.0" encoding="UTF-8" standalone="yes"?>
<Relationships xmlns="http://schemas.openxmlformats.org/package/2006/relationships"><Relationship Id="rId8" Type="http://schemas.openxmlformats.org/officeDocument/2006/relationships/hyperlink" Target="#'2. Estimaci&#243;n absorci&#243;n total'!N48"/><Relationship Id="rId3" Type="http://schemas.openxmlformats.org/officeDocument/2006/relationships/hyperlink" Target="#'1. Datos generales proyecto'!A1"/><Relationship Id="rId7" Type="http://schemas.openxmlformats.org/officeDocument/2006/relationships/hyperlink" Target="#'2. Estimaci&#243;n absorci&#243;n total'!N47"/><Relationship Id="rId12" Type="http://schemas.openxmlformats.org/officeDocument/2006/relationships/image" Target="../media/image5.jpeg"/><Relationship Id="rId2" Type="http://schemas.openxmlformats.org/officeDocument/2006/relationships/hyperlink" Target="#'3. Absorciones_Disponibles'!A1"/><Relationship Id="rId1" Type="http://schemas.openxmlformats.org/officeDocument/2006/relationships/image" Target="../media/image4.jpeg"/><Relationship Id="rId6" Type="http://schemas.openxmlformats.org/officeDocument/2006/relationships/hyperlink" Target="#'2. Estimaci&#243;n absorci&#243;n total'!N25"/><Relationship Id="rId11" Type="http://schemas.openxmlformats.org/officeDocument/2006/relationships/image" Target="../media/image6.png"/><Relationship Id="rId5" Type="http://schemas.openxmlformats.org/officeDocument/2006/relationships/image" Target="../media/image1.wmf"/><Relationship Id="rId10" Type="http://schemas.openxmlformats.org/officeDocument/2006/relationships/hyperlink" Target="#'2. Estimaci&#243;n absorci&#243;n total'!N52"/><Relationship Id="rId4" Type="http://schemas.openxmlformats.org/officeDocument/2006/relationships/hyperlink" Target="#'2. Estimaci&#243;n absorci&#243;n total'!N24"/><Relationship Id="rId9" Type="http://schemas.openxmlformats.org/officeDocument/2006/relationships/hyperlink" Target="#'2. Estimaci&#243;n absorci&#243;n total'!N51"/></Relationships>
</file>

<file path=xl/drawings/_rels/drawing5.xml.rels><?xml version="1.0" encoding="UTF-8" standalone="yes"?>
<Relationships xmlns="http://schemas.openxmlformats.org/package/2006/relationships"><Relationship Id="rId3" Type="http://schemas.openxmlformats.org/officeDocument/2006/relationships/hyperlink" Target="#'2. Estimaci&#243;n absorci&#243;n total'!A1"/><Relationship Id="rId2" Type="http://schemas.openxmlformats.org/officeDocument/2006/relationships/hyperlink" Target="#'4. Factores de absorci&#243;n'!A1"/><Relationship Id="rId1" Type="http://schemas.openxmlformats.org/officeDocument/2006/relationships/image" Target="../media/image4.jpeg"/><Relationship Id="rId5" Type="http://schemas.openxmlformats.org/officeDocument/2006/relationships/image" Target="../media/image5.jpeg"/><Relationship Id="rId4" Type="http://schemas.openxmlformats.org/officeDocument/2006/relationships/image" Target="../media/image7.png"/></Relationships>
</file>

<file path=xl/drawings/_rels/drawing6.xml.rels><?xml version="1.0" encoding="UTF-8" standalone="yes"?>
<Relationships xmlns="http://schemas.openxmlformats.org/package/2006/relationships"><Relationship Id="rId3" Type="http://schemas.openxmlformats.org/officeDocument/2006/relationships/hyperlink" Target="#'Revisiones calculadora '!A1"/><Relationship Id="rId2" Type="http://schemas.openxmlformats.org/officeDocument/2006/relationships/image" Target="../media/image4.jpeg"/><Relationship Id="rId1" Type="http://schemas.openxmlformats.org/officeDocument/2006/relationships/chart" Target="../charts/chart1.xml"/><Relationship Id="rId5" Type="http://schemas.openxmlformats.org/officeDocument/2006/relationships/image" Target="../media/image5.jpeg"/><Relationship Id="rId4" Type="http://schemas.openxmlformats.org/officeDocument/2006/relationships/hyperlink" Target="#'3. Absorciones_Disponibles'!A1"/></Relationships>
</file>

<file path=xl/drawings/_rels/drawing7.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hyperlink" Target="#'Contenido e instrucciones'!A1"/><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54</xdr:row>
      <xdr:rowOff>95250</xdr:rowOff>
    </xdr:from>
    <xdr:to>
      <xdr:col>9</xdr:col>
      <xdr:colOff>76200</xdr:colOff>
      <xdr:row>60</xdr:row>
      <xdr:rowOff>171450</xdr:rowOff>
    </xdr:to>
    <xdr:sp macro="" textlink="">
      <xdr:nvSpPr>
        <xdr:cNvPr id="2" name="1 Rectángulo"/>
        <xdr:cNvSpPr/>
      </xdr:nvSpPr>
      <xdr:spPr>
        <a:xfrm>
          <a:off x="0" y="10610850"/>
          <a:ext cx="7429500" cy="1504950"/>
        </a:xfrm>
        <a:prstGeom prst="rect">
          <a:avLst/>
        </a:prstGeom>
        <a:solidFill>
          <a:schemeClr val="accent1">
            <a:alpha val="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285749</xdr:colOff>
      <xdr:row>28</xdr:row>
      <xdr:rowOff>78846</xdr:rowOff>
    </xdr:from>
    <xdr:to>
      <xdr:col>4</xdr:col>
      <xdr:colOff>714374</xdr:colOff>
      <xdr:row>29</xdr:row>
      <xdr:rowOff>207816</xdr:rowOff>
    </xdr:to>
    <xdr:pic>
      <xdr:nvPicPr>
        <xdr:cNvPr id="4" name="3 Imagen" descr="D:\Documents and Settings\enotario\Configuración local\Temp\Temporary Internet Files\Content.IE5\QQXMQY3R\MC900442072[1].wmf"/>
        <xdr:cNvPicPr>
          <a:picLocks noChangeAspect="1" noChangeArrowheads="1"/>
        </xdr:cNvPicPr>
      </xdr:nvPicPr>
      <xdr:blipFill>
        <a:blip xmlns:r="http://schemas.openxmlformats.org/officeDocument/2006/relationships" r:embed="rId1">
          <a:duotone>
            <a:prstClr val="black"/>
            <a:schemeClr val="accent3">
              <a:tint val="45000"/>
              <a:satMod val="400000"/>
            </a:schemeClr>
          </a:duotone>
          <a:extLst/>
        </a:blip>
        <a:srcRect/>
        <a:stretch>
          <a:fillRect/>
        </a:stretch>
      </xdr:blipFill>
      <xdr:spPr bwMode="auto">
        <a:xfrm>
          <a:off x="1895474" y="5860521"/>
          <a:ext cx="428625" cy="300420"/>
        </a:xfrm>
        <a:prstGeom prst="rect">
          <a:avLst/>
        </a:prstGeom>
        <a:noFill/>
        <a:ln>
          <a:noFill/>
        </a:ln>
        <a:effectLst>
          <a:glow>
            <a:srgbClr val="339966">
              <a:alpha val="40000"/>
            </a:srgbClr>
          </a:glow>
        </a:effectLst>
        <a:extLst/>
      </xdr:spPr>
    </xdr:pic>
    <xdr:clientData/>
  </xdr:twoCellAnchor>
  <xdr:twoCellAnchor editAs="absolute">
    <xdr:from>
      <xdr:col>12</xdr:col>
      <xdr:colOff>285750</xdr:colOff>
      <xdr:row>0</xdr:row>
      <xdr:rowOff>28575</xdr:rowOff>
    </xdr:from>
    <xdr:to>
      <xdr:col>12</xdr:col>
      <xdr:colOff>1257300</xdr:colOff>
      <xdr:row>2</xdr:row>
      <xdr:rowOff>180975</xdr:rowOff>
    </xdr:to>
    <xdr:pic>
      <xdr:nvPicPr>
        <xdr:cNvPr id="2677475" name="4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68025" y="28575"/>
          <a:ext cx="9715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0</xdr:row>
      <xdr:rowOff>28575</xdr:rowOff>
    </xdr:from>
    <xdr:to>
      <xdr:col>5</xdr:col>
      <xdr:colOff>451866</xdr:colOff>
      <xdr:row>2</xdr:row>
      <xdr:rowOff>228600</xdr:rowOff>
    </xdr:to>
    <xdr:pic>
      <xdr:nvPicPr>
        <xdr:cNvPr id="2" name="1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575" y="28575"/>
          <a:ext cx="2795016" cy="685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28</xdr:col>
      <xdr:colOff>161925</xdr:colOff>
      <xdr:row>0</xdr:row>
      <xdr:rowOff>9525</xdr:rowOff>
    </xdr:from>
    <xdr:to>
      <xdr:col>29</xdr:col>
      <xdr:colOff>190500</xdr:colOff>
      <xdr:row>1</xdr:row>
      <xdr:rowOff>190500</xdr:rowOff>
    </xdr:to>
    <xdr:pic>
      <xdr:nvPicPr>
        <xdr:cNvPr id="3142885" name="1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34775" y="9525"/>
          <a:ext cx="3905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16</xdr:col>
      <xdr:colOff>19319</xdr:colOff>
      <xdr:row>87</xdr:row>
      <xdr:rowOff>188923</xdr:rowOff>
    </xdr:from>
    <xdr:to>
      <xdr:col>17</xdr:col>
      <xdr:colOff>102291</xdr:colOff>
      <xdr:row>87</xdr:row>
      <xdr:rowOff>206238</xdr:rowOff>
    </xdr:to>
    <xdr:pic>
      <xdr:nvPicPr>
        <xdr:cNvPr id="8" name="7 Imagen" descr="D:\Documents and Settings\enotario\Configuración local\Temp\Temporary Internet Files\Content.IE5\QQXMQY3R\MC900442072[1].wmf">
          <a:hlinkClick xmlns:r="http://schemas.openxmlformats.org/officeDocument/2006/relationships" r:id="rId2"/>
        </xdr:cNvPr>
        <xdr:cNvPicPr>
          <a:picLocks noChangeAspect="1" noChangeArrowheads="1"/>
        </xdr:cNvPicPr>
      </xdr:nvPicPr>
      <xdr:blipFill>
        <a:blip xmlns:r="http://schemas.openxmlformats.org/officeDocument/2006/relationships" r:embed="rId3">
          <a:duotone>
            <a:schemeClr val="accent3">
              <a:shade val="45000"/>
              <a:satMod val="135000"/>
            </a:schemeClr>
            <a:prstClr val="white"/>
          </a:duotone>
          <a:lum bright="2000" contrast="33000"/>
          <a:extLst/>
        </a:blip>
        <a:srcRect/>
        <a:stretch>
          <a:fillRect/>
        </a:stretch>
      </xdr:blipFill>
      <xdr:spPr bwMode="auto">
        <a:xfrm>
          <a:off x="4010294" y="9228148"/>
          <a:ext cx="216322" cy="150665"/>
        </a:xfrm>
        <a:prstGeom prst="rect">
          <a:avLst/>
        </a:prstGeom>
        <a:noFill/>
        <a:effectLst>
          <a:glow>
            <a:schemeClr val="accent1">
              <a:alpha val="40000"/>
            </a:schemeClr>
          </a:glow>
        </a:effectLst>
        <a:extLst/>
      </xdr:spPr>
    </xdr:pic>
    <xdr:clientData/>
  </xdr:twoCellAnchor>
  <xdr:twoCellAnchor editAs="oneCell">
    <xdr:from>
      <xdr:col>26</xdr:col>
      <xdr:colOff>57150</xdr:colOff>
      <xdr:row>9</xdr:row>
      <xdr:rowOff>28575</xdr:rowOff>
    </xdr:from>
    <xdr:to>
      <xdr:col>26</xdr:col>
      <xdr:colOff>272112</xdr:colOff>
      <xdr:row>9</xdr:row>
      <xdr:rowOff>179240</xdr:rowOff>
    </xdr:to>
    <xdr:pic>
      <xdr:nvPicPr>
        <xdr:cNvPr id="6" name="5 Imagen" descr="D:\Documents and Settings\enotario\Configuración local\Temp\Temporary Internet Files\Content.IE5\QQXMQY3R\MC900442072[1].wmf">
          <a:hlinkClick xmlns:r="http://schemas.openxmlformats.org/officeDocument/2006/relationships" r:id="rId4"/>
        </xdr:cNvPr>
        <xdr:cNvPicPr>
          <a:picLocks noChangeAspect="1" noChangeArrowheads="1"/>
        </xdr:cNvPicPr>
      </xdr:nvPicPr>
      <xdr:blipFill>
        <a:blip xmlns:r="http://schemas.openxmlformats.org/officeDocument/2006/relationships" r:embed="rId3">
          <a:duotone>
            <a:schemeClr val="accent3">
              <a:shade val="45000"/>
              <a:satMod val="135000"/>
            </a:schemeClr>
            <a:prstClr val="white"/>
          </a:duotone>
          <a:lum bright="2000" contrast="33000"/>
          <a:extLst/>
        </a:blip>
        <a:srcRect/>
        <a:stretch>
          <a:fillRect/>
        </a:stretch>
      </xdr:blipFill>
      <xdr:spPr bwMode="auto">
        <a:xfrm>
          <a:off x="10001250" y="1838325"/>
          <a:ext cx="214962" cy="150665"/>
        </a:xfrm>
        <a:prstGeom prst="rect">
          <a:avLst/>
        </a:prstGeom>
        <a:noFill/>
        <a:effectLst>
          <a:glow>
            <a:schemeClr val="accent1">
              <a:alpha val="40000"/>
            </a:schemeClr>
          </a:glow>
        </a:effectLst>
        <a:extLst/>
      </xdr:spPr>
    </xdr:pic>
    <xdr:clientData/>
  </xdr:twoCellAnchor>
  <xdr:twoCellAnchor editAs="oneCell">
    <xdr:from>
      <xdr:col>7</xdr:col>
      <xdr:colOff>409575</xdr:colOff>
      <xdr:row>29</xdr:row>
      <xdr:rowOff>19050</xdr:rowOff>
    </xdr:from>
    <xdr:to>
      <xdr:col>7</xdr:col>
      <xdr:colOff>624537</xdr:colOff>
      <xdr:row>29</xdr:row>
      <xdr:rowOff>169715</xdr:rowOff>
    </xdr:to>
    <xdr:pic>
      <xdr:nvPicPr>
        <xdr:cNvPr id="7" name="6 Imagen" descr="D:\Documents and Settings\enotario\Configuración local\Temp\Temporary Internet Files\Content.IE5\QQXMQY3R\MC900442072[1].wmf">
          <a:hlinkClick xmlns:r="http://schemas.openxmlformats.org/officeDocument/2006/relationships" r:id="rId5"/>
        </xdr:cNvPr>
        <xdr:cNvPicPr>
          <a:picLocks noChangeAspect="1" noChangeArrowheads="1"/>
        </xdr:cNvPicPr>
      </xdr:nvPicPr>
      <xdr:blipFill>
        <a:blip xmlns:r="http://schemas.openxmlformats.org/officeDocument/2006/relationships" r:embed="rId3">
          <a:duotone>
            <a:schemeClr val="accent3">
              <a:shade val="45000"/>
              <a:satMod val="135000"/>
            </a:schemeClr>
            <a:prstClr val="white"/>
          </a:duotone>
          <a:lum bright="2000" contrast="33000"/>
          <a:extLst/>
        </a:blip>
        <a:srcRect/>
        <a:stretch>
          <a:fillRect/>
        </a:stretch>
      </xdr:blipFill>
      <xdr:spPr bwMode="auto">
        <a:xfrm>
          <a:off x="3705225" y="5276850"/>
          <a:ext cx="214962" cy="150665"/>
        </a:xfrm>
        <a:prstGeom prst="rect">
          <a:avLst/>
        </a:prstGeom>
        <a:noFill/>
        <a:effectLst>
          <a:glow>
            <a:schemeClr val="accent1">
              <a:alpha val="40000"/>
            </a:schemeClr>
          </a:glow>
        </a:effectLst>
        <a:extLst/>
      </xdr:spPr>
    </xdr:pic>
    <xdr:clientData/>
  </xdr:twoCellAnchor>
  <xdr:twoCellAnchor editAs="oneCell">
    <xdr:from>
      <xdr:col>7</xdr:col>
      <xdr:colOff>428625</xdr:colOff>
      <xdr:row>12</xdr:row>
      <xdr:rowOff>28575</xdr:rowOff>
    </xdr:from>
    <xdr:to>
      <xdr:col>7</xdr:col>
      <xdr:colOff>643587</xdr:colOff>
      <xdr:row>12</xdr:row>
      <xdr:rowOff>179240</xdr:rowOff>
    </xdr:to>
    <xdr:pic>
      <xdr:nvPicPr>
        <xdr:cNvPr id="9" name="8 Imagen" descr="D:\Documents and Settings\enotario\Configuración local\Temp\Temporary Internet Files\Content.IE5\QQXMQY3R\MC900442072[1].wmf">
          <a:hlinkClick xmlns:r="http://schemas.openxmlformats.org/officeDocument/2006/relationships" r:id="rId6"/>
        </xdr:cNvPr>
        <xdr:cNvPicPr>
          <a:picLocks noChangeAspect="1" noChangeArrowheads="1"/>
        </xdr:cNvPicPr>
      </xdr:nvPicPr>
      <xdr:blipFill>
        <a:blip xmlns:r="http://schemas.openxmlformats.org/officeDocument/2006/relationships" r:embed="rId3">
          <a:duotone>
            <a:schemeClr val="accent3">
              <a:shade val="45000"/>
              <a:satMod val="135000"/>
            </a:schemeClr>
            <a:prstClr val="white"/>
          </a:duotone>
          <a:lum bright="2000" contrast="33000"/>
          <a:extLst/>
        </a:blip>
        <a:srcRect/>
        <a:stretch>
          <a:fillRect/>
        </a:stretch>
      </xdr:blipFill>
      <xdr:spPr bwMode="auto">
        <a:xfrm>
          <a:off x="3724275" y="2476500"/>
          <a:ext cx="214962" cy="150665"/>
        </a:xfrm>
        <a:prstGeom prst="rect">
          <a:avLst/>
        </a:prstGeom>
        <a:noFill/>
        <a:effectLst>
          <a:glow>
            <a:schemeClr val="accent1">
              <a:alpha val="40000"/>
            </a:schemeClr>
          </a:glow>
        </a:effectLst>
        <a:extLst/>
      </xdr:spPr>
    </xdr:pic>
    <xdr:clientData/>
  </xdr:twoCellAnchor>
  <xdr:twoCellAnchor editAs="oneCell">
    <xdr:from>
      <xdr:col>12</xdr:col>
      <xdr:colOff>9525</xdr:colOff>
      <xdr:row>12</xdr:row>
      <xdr:rowOff>28575</xdr:rowOff>
    </xdr:from>
    <xdr:to>
      <xdr:col>12</xdr:col>
      <xdr:colOff>224487</xdr:colOff>
      <xdr:row>12</xdr:row>
      <xdr:rowOff>179240</xdr:rowOff>
    </xdr:to>
    <xdr:pic>
      <xdr:nvPicPr>
        <xdr:cNvPr id="10" name="9 Imagen" descr="D:\Documents and Settings\enotario\Configuración local\Temp\Temporary Internet Files\Content.IE5\QQXMQY3R\MC900442072[1].wmf">
          <a:hlinkClick xmlns:r="http://schemas.openxmlformats.org/officeDocument/2006/relationships" r:id="rId7"/>
        </xdr:cNvPr>
        <xdr:cNvPicPr>
          <a:picLocks noChangeAspect="1" noChangeArrowheads="1"/>
        </xdr:cNvPicPr>
      </xdr:nvPicPr>
      <xdr:blipFill>
        <a:blip xmlns:r="http://schemas.openxmlformats.org/officeDocument/2006/relationships" r:embed="rId3">
          <a:duotone>
            <a:schemeClr val="accent3">
              <a:shade val="45000"/>
              <a:satMod val="135000"/>
            </a:schemeClr>
            <a:prstClr val="white"/>
          </a:duotone>
          <a:lum bright="2000" contrast="33000"/>
          <a:extLst/>
        </a:blip>
        <a:srcRect/>
        <a:stretch>
          <a:fillRect/>
        </a:stretch>
      </xdr:blipFill>
      <xdr:spPr bwMode="auto">
        <a:xfrm>
          <a:off x="5314950" y="2476500"/>
          <a:ext cx="214962" cy="150665"/>
        </a:xfrm>
        <a:prstGeom prst="rect">
          <a:avLst/>
        </a:prstGeom>
        <a:noFill/>
        <a:effectLst>
          <a:glow>
            <a:schemeClr val="accent1">
              <a:alpha val="40000"/>
            </a:schemeClr>
          </a:glow>
        </a:effectLst>
        <a:extLst/>
      </xdr:spPr>
    </xdr:pic>
    <xdr:clientData/>
  </xdr:twoCellAnchor>
  <xdr:twoCellAnchor editAs="oneCell">
    <xdr:from>
      <xdr:col>17</xdr:col>
      <xdr:colOff>95250</xdr:colOff>
      <xdr:row>12</xdr:row>
      <xdr:rowOff>28575</xdr:rowOff>
    </xdr:from>
    <xdr:to>
      <xdr:col>17</xdr:col>
      <xdr:colOff>310212</xdr:colOff>
      <xdr:row>12</xdr:row>
      <xdr:rowOff>179240</xdr:rowOff>
    </xdr:to>
    <xdr:pic>
      <xdr:nvPicPr>
        <xdr:cNvPr id="11" name="10 Imagen" descr="D:\Documents and Settings\enotario\Configuración local\Temp\Temporary Internet Files\Content.IE5\QQXMQY3R\MC900442072[1].wmf">
          <a:hlinkClick xmlns:r="http://schemas.openxmlformats.org/officeDocument/2006/relationships" r:id="rId8"/>
        </xdr:cNvPr>
        <xdr:cNvPicPr>
          <a:picLocks noChangeAspect="1" noChangeArrowheads="1"/>
        </xdr:cNvPicPr>
      </xdr:nvPicPr>
      <xdr:blipFill>
        <a:blip xmlns:r="http://schemas.openxmlformats.org/officeDocument/2006/relationships" r:embed="rId3">
          <a:duotone>
            <a:schemeClr val="accent3">
              <a:shade val="45000"/>
              <a:satMod val="135000"/>
            </a:schemeClr>
            <a:prstClr val="white"/>
          </a:duotone>
          <a:lum bright="2000" contrast="33000"/>
          <a:extLst/>
        </a:blip>
        <a:srcRect/>
        <a:stretch>
          <a:fillRect/>
        </a:stretch>
      </xdr:blipFill>
      <xdr:spPr bwMode="auto">
        <a:xfrm>
          <a:off x="6877050" y="2466975"/>
          <a:ext cx="214962" cy="150665"/>
        </a:xfrm>
        <a:prstGeom prst="rect">
          <a:avLst/>
        </a:prstGeom>
        <a:noFill/>
        <a:effectLst>
          <a:glow>
            <a:schemeClr val="accent1">
              <a:alpha val="40000"/>
            </a:schemeClr>
          </a:glow>
        </a:effectLst>
        <a:extLst/>
      </xdr:spPr>
    </xdr:pic>
    <xdr:clientData/>
  </xdr:twoCellAnchor>
  <xdr:twoCellAnchor>
    <xdr:from>
      <xdr:col>5</xdr:col>
      <xdr:colOff>304800</xdr:colOff>
      <xdr:row>0</xdr:row>
      <xdr:rowOff>95250</xdr:rowOff>
    </xdr:from>
    <xdr:to>
      <xdr:col>5</xdr:col>
      <xdr:colOff>581025</xdr:colOff>
      <xdr:row>1</xdr:row>
      <xdr:rowOff>66675</xdr:rowOff>
    </xdr:to>
    <xdr:sp macro="" textlink="">
      <xdr:nvSpPr>
        <xdr:cNvPr id="2" name="1 Flecha derecha">
          <a:hlinkClick xmlns:r="http://schemas.openxmlformats.org/officeDocument/2006/relationships" r:id="rId9"/>
        </xdr:cNvPr>
        <xdr:cNvSpPr/>
      </xdr:nvSpPr>
      <xdr:spPr>
        <a:xfrm>
          <a:off x="2105025" y="95250"/>
          <a:ext cx="276225" cy="180975"/>
        </a:xfrm>
        <a:prstGeom prst="rightArrow">
          <a:avLst/>
        </a:prstGeom>
        <a:solidFill>
          <a:srgbClr val="339966"/>
        </a:solidFill>
        <a:ln w="25400">
          <a:solidFill>
            <a:srgbClr val="CCFF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4</xdr:col>
      <xdr:colOff>514346</xdr:colOff>
      <xdr:row>0</xdr:row>
      <xdr:rowOff>95251</xdr:rowOff>
    </xdr:from>
    <xdr:to>
      <xdr:col>5</xdr:col>
      <xdr:colOff>228599</xdr:colOff>
      <xdr:row>1</xdr:row>
      <xdr:rowOff>76200</xdr:rowOff>
    </xdr:to>
    <xdr:sp macro="" textlink="">
      <xdr:nvSpPr>
        <xdr:cNvPr id="15" name="14 Flecha derecha">
          <a:hlinkClick xmlns:r="http://schemas.openxmlformats.org/officeDocument/2006/relationships" r:id="rId10"/>
        </xdr:cNvPr>
        <xdr:cNvSpPr/>
      </xdr:nvSpPr>
      <xdr:spPr>
        <a:xfrm flipH="1">
          <a:off x="1762121" y="95251"/>
          <a:ext cx="266703" cy="190499"/>
        </a:xfrm>
        <a:prstGeom prst="rightArrow">
          <a:avLst/>
        </a:prstGeom>
        <a:solidFill>
          <a:srgbClr val="339966"/>
        </a:solidFill>
        <a:ln w="25400">
          <a:solidFill>
            <a:srgbClr val="CCFF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editAs="oneCell">
    <xdr:from>
      <xdr:col>0</xdr:col>
      <xdr:colOff>28576</xdr:colOff>
      <xdr:row>0</xdr:row>
      <xdr:rowOff>19632</xdr:rowOff>
    </xdr:from>
    <xdr:to>
      <xdr:col>4</xdr:col>
      <xdr:colOff>323850</xdr:colOff>
      <xdr:row>1</xdr:row>
      <xdr:rowOff>188693</xdr:rowOff>
    </xdr:to>
    <xdr:pic>
      <xdr:nvPicPr>
        <xdr:cNvPr id="3" name="2 Imagen"/>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28576" y="19632"/>
          <a:ext cx="1543049" cy="37861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19</xdr:col>
      <xdr:colOff>533400</xdr:colOff>
      <xdr:row>0</xdr:row>
      <xdr:rowOff>0</xdr:rowOff>
    </xdr:from>
    <xdr:to>
      <xdr:col>20</xdr:col>
      <xdr:colOff>257175</xdr:colOff>
      <xdr:row>1</xdr:row>
      <xdr:rowOff>200025</xdr:rowOff>
    </xdr:to>
    <xdr:pic>
      <xdr:nvPicPr>
        <xdr:cNvPr id="3059395" name="1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87150" y="0"/>
          <a:ext cx="3905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xdr:from>
      <xdr:col>3</xdr:col>
      <xdr:colOff>1238254</xdr:colOff>
      <xdr:row>0</xdr:row>
      <xdr:rowOff>95250</xdr:rowOff>
    </xdr:from>
    <xdr:to>
      <xdr:col>3</xdr:col>
      <xdr:colOff>1514479</xdr:colOff>
      <xdr:row>1</xdr:row>
      <xdr:rowOff>85725</xdr:rowOff>
    </xdr:to>
    <xdr:sp macro="" textlink="">
      <xdr:nvSpPr>
        <xdr:cNvPr id="4" name="3 Flecha derecha">
          <a:hlinkClick xmlns:r="http://schemas.openxmlformats.org/officeDocument/2006/relationships" r:id="rId2"/>
        </xdr:cNvPr>
        <xdr:cNvSpPr/>
      </xdr:nvSpPr>
      <xdr:spPr>
        <a:xfrm>
          <a:off x="2114554" y="95250"/>
          <a:ext cx="276225" cy="180975"/>
        </a:xfrm>
        <a:prstGeom prst="rightArrow">
          <a:avLst/>
        </a:prstGeom>
        <a:solidFill>
          <a:srgbClr val="339966"/>
        </a:solidFill>
        <a:ln w="25400">
          <a:solidFill>
            <a:srgbClr val="CCFF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3</xdr:col>
      <xdr:colOff>895350</xdr:colOff>
      <xdr:row>0</xdr:row>
      <xdr:rowOff>95251</xdr:rowOff>
    </xdr:from>
    <xdr:to>
      <xdr:col>3</xdr:col>
      <xdr:colOff>1162053</xdr:colOff>
      <xdr:row>1</xdr:row>
      <xdr:rowOff>95250</xdr:rowOff>
    </xdr:to>
    <xdr:sp macro="" textlink="">
      <xdr:nvSpPr>
        <xdr:cNvPr id="5" name="4 Flecha derecha">
          <a:hlinkClick xmlns:r="http://schemas.openxmlformats.org/officeDocument/2006/relationships" r:id="rId3"/>
        </xdr:cNvPr>
        <xdr:cNvSpPr/>
      </xdr:nvSpPr>
      <xdr:spPr>
        <a:xfrm flipH="1">
          <a:off x="1771650" y="95251"/>
          <a:ext cx="266703" cy="190499"/>
        </a:xfrm>
        <a:prstGeom prst="rightArrow">
          <a:avLst/>
        </a:prstGeom>
        <a:solidFill>
          <a:srgbClr val="339966"/>
        </a:solidFill>
        <a:ln w="25400">
          <a:solidFill>
            <a:srgbClr val="CCFF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editAs="oneCell">
    <xdr:from>
      <xdr:col>4</xdr:col>
      <xdr:colOff>247650</xdr:colOff>
      <xdr:row>18</xdr:row>
      <xdr:rowOff>123825</xdr:rowOff>
    </xdr:from>
    <xdr:to>
      <xdr:col>4</xdr:col>
      <xdr:colOff>462612</xdr:colOff>
      <xdr:row>18</xdr:row>
      <xdr:rowOff>274490</xdr:rowOff>
    </xdr:to>
    <xdr:pic>
      <xdr:nvPicPr>
        <xdr:cNvPr id="8" name="7 Imagen" descr="D:\Documents and Settings\enotario\Configuración local\Temp\Temporary Internet Files\Content.IE5\QQXMQY3R\MC900442072[1].wmf">
          <a:hlinkClick xmlns:r="http://schemas.openxmlformats.org/officeDocument/2006/relationships" r:id="rId4"/>
        </xdr:cNvPr>
        <xdr:cNvPicPr>
          <a:picLocks noChangeAspect="1" noChangeArrowheads="1"/>
        </xdr:cNvPicPr>
      </xdr:nvPicPr>
      <xdr:blipFill>
        <a:blip xmlns:r="http://schemas.openxmlformats.org/officeDocument/2006/relationships" r:embed="rId5">
          <a:duotone>
            <a:schemeClr val="accent3">
              <a:shade val="45000"/>
              <a:satMod val="135000"/>
            </a:schemeClr>
            <a:prstClr val="white"/>
          </a:duotone>
          <a:lum bright="2000" contrast="33000"/>
          <a:extLst/>
        </a:blip>
        <a:srcRect/>
        <a:stretch>
          <a:fillRect/>
        </a:stretch>
      </xdr:blipFill>
      <xdr:spPr bwMode="auto">
        <a:xfrm>
          <a:off x="3362325" y="3752850"/>
          <a:ext cx="214962" cy="150665"/>
        </a:xfrm>
        <a:prstGeom prst="rect">
          <a:avLst/>
        </a:prstGeom>
        <a:noFill/>
        <a:effectLst>
          <a:glow>
            <a:schemeClr val="accent1">
              <a:alpha val="40000"/>
            </a:schemeClr>
          </a:glow>
        </a:effectLst>
        <a:extLst/>
      </xdr:spPr>
    </xdr:pic>
    <xdr:clientData/>
  </xdr:twoCellAnchor>
  <xdr:twoCellAnchor editAs="oneCell">
    <xdr:from>
      <xdr:col>5</xdr:col>
      <xdr:colOff>219075</xdr:colOff>
      <xdr:row>18</xdr:row>
      <xdr:rowOff>190500</xdr:rowOff>
    </xdr:from>
    <xdr:to>
      <xdr:col>5</xdr:col>
      <xdr:colOff>434037</xdr:colOff>
      <xdr:row>18</xdr:row>
      <xdr:rowOff>341165</xdr:rowOff>
    </xdr:to>
    <xdr:pic>
      <xdr:nvPicPr>
        <xdr:cNvPr id="9" name="8 Imagen" descr="D:\Documents and Settings\enotario\Configuración local\Temp\Temporary Internet Files\Content.IE5\QQXMQY3R\MC900442072[1].wmf">
          <a:hlinkClick xmlns:r="http://schemas.openxmlformats.org/officeDocument/2006/relationships" r:id="rId6"/>
        </xdr:cNvPr>
        <xdr:cNvPicPr>
          <a:picLocks noChangeAspect="1" noChangeArrowheads="1"/>
        </xdr:cNvPicPr>
      </xdr:nvPicPr>
      <xdr:blipFill>
        <a:blip xmlns:r="http://schemas.openxmlformats.org/officeDocument/2006/relationships" r:embed="rId5">
          <a:duotone>
            <a:schemeClr val="accent3">
              <a:shade val="45000"/>
              <a:satMod val="135000"/>
            </a:schemeClr>
            <a:prstClr val="white"/>
          </a:duotone>
          <a:lum bright="2000" contrast="33000"/>
          <a:extLst/>
        </a:blip>
        <a:srcRect/>
        <a:stretch>
          <a:fillRect/>
        </a:stretch>
      </xdr:blipFill>
      <xdr:spPr bwMode="auto">
        <a:xfrm>
          <a:off x="3981450" y="3819525"/>
          <a:ext cx="214962" cy="150665"/>
        </a:xfrm>
        <a:prstGeom prst="rect">
          <a:avLst/>
        </a:prstGeom>
        <a:noFill/>
        <a:effectLst>
          <a:glow>
            <a:schemeClr val="accent1">
              <a:alpha val="40000"/>
            </a:schemeClr>
          </a:glow>
        </a:effectLst>
        <a:extLst/>
      </xdr:spPr>
    </xdr:pic>
    <xdr:clientData/>
  </xdr:twoCellAnchor>
  <xdr:twoCellAnchor editAs="oneCell">
    <xdr:from>
      <xdr:col>4</xdr:col>
      <xdr:colOff>209550</xdr:colOff>
      <xdr:row>41</xdr:row>
      <xdr:rowOff>142875</xdr:rowOff>
    </xdr:from>
    <xdr:to>
      <xdr:col>4</xdr:col>
      <xdr:colOff>424512</xdr:colOff>
      <xdr:row>41</xdr:row>
      <xdr:rowOff>293540</xdr:rowOff>
    </xdr:to>
    <xdr:pic>
      <xdr:nvPicPr>
        <xdr:cNvPr id="10" name="9 Imagen" descr="D:\Documents and Settings\enotario\Configuración local\Temp\Temporary Internet Files\Content.IE5\QQXMQY3R\MC900442072[1].wmf">
          <a:hlinkClick xmlns:r="http://schemas.openxmlformats.org/officeDocument/2006/relationships" r:id="rId7"/>
        </xdr:cNvPr>
        <xdr:cNvPicPr>
          <a:picLocks noChangeAspect="1" noChangeArrowheads="1"/>
        </xdr:cNvPicPr>
      </xdr:nvPicPr>
      <xdr:blipFill>
        <a:blip xmlns:r="http://schemas.openxmlformats.org/officeDocument/2006/relationships" r:embed="rId5">
          <a:duotone>
            <a:schemeClr val="accent3">
              <a:shade val="45000"/>
              <a:satMod val="135000"/>
            </a:schemeClr>
            <a:prstClr val="white"/>
          </a:duotone>
          <a:lum bright="2000" contrast="33000"/>
          <a:extLst/>
        </a:blip>
        <a:srcRect/>
        <a:stretch>
          <a:fillRect/>
        </a:stretch>
      </xdr:blipFill>
      <xdr:spPr bwMode="auto">
        <a:xfrm>
          <a:off x="3324225" y="8191500"/>
          <a:ext cx="214962" cy="150665"/>
        </a:xfrm>
        <a:prstGeom prst="rect">
          <a:avLst/>
        </a:prstGeom>
        <a:noFill/>
        <a:effectLst>
          <a:glow>
            <a:schemeClr val="accent1">
              <a:alpha val="40000"/>
            </a:schemeClr>
          </a:glow>
        </a:effectLst>
        <a:extLst/>
      </xdr:spPr>
    </xdr:pic>
    <xdr:clientData/>
  </xdr:twoCellAnchor>
  <xdr:twoCellAnchor editAs="oneCell">
    <xdr:from>
      <xdr:col>5</xdr:col>
      <xdr:colOff>209550</xdr:colOff>
      <xdr:row>41</xdr:row>
      <xdr:rowOff>190500</xdr:rowOff>
    </xdr:from>
    <xdr:to>
      <xdr:col>5</xdr:col>
      <xdr:colOff>424512</xdr:colOff>
      <xdr:row>41</xdr:row>
      <xdr:rowOff>341165</xdr:rowOff>
    </xdr:to>
    <xdr:pic>
      <xdr:nvPicPr>
        <xdr:cNvPr id="11" name="10 Imagen" descr="D:\Documents and Settings\enotario\Configuración local\Temp\Temporary Internet Files\Content.IE5\QQXMQY3R\MC900442072[1].wmf">
          <a:hlinkClick xmlns:r="http://schemas.openxmlformats.org/officeDocument/2006/relationships" r:id="rId8"/>
        </xdr:cNvPr>
        <xdr:cNvPicPr>
          <a:picLocks noChangeAspect="1" noChangeArrowheads="1"/>
        </xdr:cNvPicPr>
      </xdr:nvPicPr>
      <xdr:blipFill>
        <a:blip xmlns:r="http://schemas.openxmlformats.org/officeDocument/2006/relationships" r:embed="rId5">
          <a:duotone>
            <a:schemeClr val="accent3">
              <a:shade val="45000"/>
              <a:satMod val="135000"/>
            </a:schemeClr>
            <a:prstClr val="white"/>
          </a:duotone>
          <a:lum bright="2000" contrast="33000"/>
          <a:extLst/>
        </a:blip>
        <a:srcRect/>
        <a:stretch>
          <a:fillRect/>
        </a:stretch>
      </xdr:blipFill>
      <xdr:spPr bwMode="auto">
        <a:xfrm>
          <a:off x="3971925" y="8239125"/>
          <a:ext cx="214962" cy="150665"/>
        </a:xfrm>
        <a:prstGeom prst="rect">
          <a:avLst/>
        </a:prstGeom>
        <a:noFill/>
        <a:effectLst>
          <a:glow>
            <a:schemeClr val="accent1">
              <a:alpha val="40000"/>
            </a:schemeClr>
          </a:glow>
        </a:effectLst>
        <a:extLst/>
      </xdr:spPr>
    </xdr:pic>
    <xdr:clientData/>
  </xdr:twoCellAnchor>
  <xdr:twoCellAnchor editAs="oneCell">
    <xdr:from>
      <xdr:col>6</xdr:col>
      <xdr:colOff>247650</xdr:colOff>
      <xdr:row>41</xdr:row>
      <xdr:rowOff>190500</xdr:rowOff>
    </xdr:from>
    <xdr:to>
      <xdr:col>6</xdr:col>
      <xdr:colOff>462612</xdr:colOff>
      <xdr:row>41</xdr:row>
      <xdr:rowOff>341165</xdr:rowOff>
    </xdr:to>
    <xdr:pic>
      <xdr:nvPicPr>
        <xdr:cNvPr id="12" name="11 Imagen" descr="D:\Documents and Settings\enotario\Configuración local\Temp\Temporary Internet Files\Content.IE5\QQXMQY3R\MC900442072[1].wmf">
          <a:hlinkClick xmlns:r="http://schemas.openxmlformats.org/officeDocument/2006/relationships" r:id="rId9"/>
        </xdr:cNvPr>
        <xdr:cNvPicPr>
          <a:picLocks noChangeAspect="1" noChangeArrowheads="1"/>
        </xdr:cNvPicPr>
      </xdr:nvPicPr>
      <xdr:blipFill>
        <a:blip xmlns:r="http://schemas.openxmlformats.org/officeDocument/2006/relationships" r:embed="rId5">
          <a:duotone>
            <a:schemeClr val="accent3">
              <a:shade val="45000"/>
              <a:satMod val="135000"/>
            </a:schemeClr>
            <a:prstClr val="white"/>
          </a:duotone>
          <a:lum bright="2000" contrast="33000"/>
          <a:extLst/>
        </a:blip>
        <a:srcRect/>
        <a:stretch>
          <a:fillRect/>
        </a:stretch>
      </xdr:blipFill>
      <xdr:spPr bwMode="auto">
        <a:xfrm>
          <a:off x="4619625" y="8239125"/>
          <a:ext cx="214962" cy="150665"/>
        </a:xfrm>
        <a:prstGeom prst="rect">
          <a:avLst/>
        </a:prstGeom>
        <a:noFill/>
        <a:effectLst>
          <a:glow>
            <a:schemeClr val="accent1">
              <a:alpha val="40000"/>
            </a:schemeClr>
          </a:glow>
        </a:effectLst>
        <a:extLst/>
      </xdr:spPr>
    </xdr:pic>
    <xdr:clientData/>
  </xdr:twoCellAnchor>
  <xdr:twoCellAnchor editAs="oneCell">
    <xdr:from>
      <xdr:col>7</xdr:col>
      <xdr:colOff>266700</xdr:colOff>
      <xdr:row>41</xdr:row>
      <xdr:rowOff>200025</xdr:rowOff>
    </xdr:from>
    <xdr:to>
      <xdr:col>7</xdr:col>
      <xdr:colOff>481662</xdr:colOff>
      <xdr:row>41</xdr:row>
      <xdr:rowOff>350690</xdr:rowOff>
    </xdr:to>
    <xdr:pic>
      <xdr:nvPicPr>
        <xdr:cNvPr id="13" name="12 Imagen" descr="D:\Documents and Settings\enotario\Configuración local\Temp\Temporary Internet Files\Content.IE5\QQXMQY3R\MC900442072[1].wmf">
          <a:hlinkClick xmlns:r="http://schemas.openxmlformats.org/officeDocument/2006/relationships" r:id="rId10"/>
        </xdr:cNvPr>
        <xdr:cNvPicPr>
          <a:picLocks noChangeAspect="1" noChangeArrowheads="1"/>
        </xdr:cNvPicPr>
      </xdr:nvPicPr>
      <xdr:blipFill>
        <a:blip xmlns:r="http://schemas.openxmlformats.org/officeDocument/2006/relationships" r:embed="rId5">
          <a:duotone>
            <a:schemeClr val="accent3">
              <a:shade val="45000"/>
              <a:satMod val="135000"/>
            </a:schemeClr>
            <a:prstClr val="white"/>
          </a:duotone>
          <a:lum bright="2000" contrast="33000"/>
          <a:extLst/>
        </a:blip>
        <a:srcRect/>
        <a:stretch>
          <a:fillRect/>
        </a:stretch>
      </xdr:blipFill>
      <xdr:spPr bwMode="auto">
        <a:xfrm>
          <a:off x="5353050" y="8248650"/>
          <a:ext cx="214962" cy="150665"/>
        </a:xfrm>
        <a:prstGeom prst="rect">
          <a:avLst/>
        </a:prstGeom>
        <a:noFill/>
        <a:effectLst>
          <a:glow>
            <a:schemeClr val="accent1">
              <a:alpha val="40000"/>
            </a:schemeClr>
          </a:glow>
        </a:effectLst>
        <a:extLst/>
      </xdr:spPr>
    </xdr:pic>
    <xdr:clientData/>
  </xdr:twoCellAnchor>
  <xdr:twoCellAnchor editAs="oneCell">
    <xdr:from>
      <xdr:col>8</xdr:col>
      <xdr:colOff>371475</xdr:colOff>
      <xdr:row>58</xdr:row>
      <xdr:rowOff>9525</xdr:rowOff>
    </xdr:from>
    <xdr:to>
      <xdr:col>20</xdr:col>
      <xdr:colOff>9525</xdr:colOff>
      <xdr:row>69</xdr:row>
      <xdr:rowOff>180975</xdr:rowOff>
    </xdr:to>
    <xdr:pic>
      <xdr:nvPicPr>
        <xdr:cNvPr id="3059404" name="Picture 3"/>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l="22421" t="31934" r="3516" b="19238"/>
        <a:stretch>
          <a:fillRect/>
        </a:stretch>
      </xdr:blipFill>
      <xdr:spPr bwMode="auto">
        <a:xfrm>
          <a:off x="6324600" y="11972925"/>
          <a:ext cx="5305425" cy="2476500"/>
        </a:xfrm>
        <a:prstGeom prst="rect">
          <a:avLst/>
        </a:prstGeom>
        <a:noFill/>
        <a:ln w="19050">
          <a:solidFill>
            <a:srgbClr val="339966"/>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0</xdr:row>
      <xdr:rowOff>9525</xdr:rowOff>
    </xdr:from>
    <xdr:to>
      <xdr:col>3</xdr:col>
      <xdr:colOff>685799</xdr:colOff>
      <xdr:row>1</xdr:row>
      <xdr:rowOff>197636</xdr:rowOff>
    </xdr:to>
    <xdr:pic>
      <xdr:nvPicPr>
        <xdr:cNvPr id="14" name="13 Imagen"/>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9050" y="9525"/>
          <a:ext cx="1543049" cy="37861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28</xdr:col>
      <xdr:colOff>66675</xdr:colOff>
      <xdr:row>0</xdr:row>
      <xdr:rowOff>19050</xdr:rowOff>
    </xdr:from>
    <xdr:to>
      <xdr:col>29</xdr:col>
      <xdr:colOff>171450</xdr:colOff>
      <xdr:row>1</xdr:row>
      <xdr:rowOff>190500</xdr:rowOff>
    </xdr:to>
    <xdr:pic>
      <xdr:nvPicPr>
        <xdr:cNvPr id="2687978" name="1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96600" y="19050"/>
          <a:ext cx="3905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xdr:from>
      <xdr:col>8</xdr:col>
      <xdr:colOff>352429</xdr:colOff>
      <xdr:row>0</xdr:row>
      <xdr:rowOff>95251</xdr:rowOff>
    </xdr:from>
    <xdr:to>
      <xdr:col>8</xdr:col>
      <xdr:colOff>647700</xdr:colOff>
      <xdr:row>1</xdr:row>
      <xdr:rowOff>57151</xdr:rowOff>
    </xdr:to>
    <xdr:sp macro="" textlink="">
      <xdr:nvSpPr>
        <xdr:cNvPr id="4" name="3 Flecha derecha">
          <a:hlinkClick xmlns:r="http://schemas.openxmlformats.org/officeDocument/2006/relationships" r:id="rId2"/>
        </xdr:cNvPr>
        <xdr:cNvSpPr/>
      </xdr:nvSpPr>
      <xdr:spPr>
        <a:xfrm>
          <a:off x="2076454" y="95251"/>
          <a:ext cx="295271" cy="171450"/>
        </a:xfrm>
        <a:prstGeom prst="rightArrow">
          <a:avLst/>
        </a:prstGeom>
        <a:solidFill>
          <a:srgbClr val="339966"/>
        </a:solidFill>
        <a:ln w="25400">
          <a:solidFill>
            <a:srgbClr val="CCFF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8</xdr:col>
      <xdr:colOff>0</xdr:colOff>
      <xdr:row>0</xdr:row>
      <xdr:rowOff>95251</xdr:rowOff>
    </xdr:from>
    <xdr:to>
      <xdr:col>8</xdr:col>
      <xdr:colOff>276228</xdr:colOff>
      <xdr:row>1</xdr:row>
      <xdr:rowOff>76200</xdr:rowOff>
    </xdr:to>
    <xdr:sp macro="" textlink="">
      <xdr:nvSpPr>
        <xdr:cNvPr id="5" name="4 Flecha derecha">
          <a:hlinkClick xmlns:r="http://schemas.openxmlformats.org/officeDocument/2006/relationships" r:id="rId3"/>
        </xdr:cNvPr>
        <xdr:cNvSpPr/>
      </xdr:nvSpPr>
      <xdr:spPr>
        <a:xfrm flipH="1">
          <a:off x="1724025" y="95251"/>
          <a:ext cx="276228" cy="190499"/>
        </a:xfrm>
        <a:prstGeom prst="rightArrow">
          <a:avLst/>
        </a:prstGeom>
        <a:solidFill>
          <a:srgbClr val="339966"/>
        </a:solidFill>
        <a:ln w="25400">
          <a:solidFill>
            <a:srgbClr val="CCFF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editAs="oneCell">
    <xdr:from>
      <xdr:col>16</xdr:col>
      <xdr:colOff>142875</xdr:colOff>
      <xdr:row>64</xdr:row>
      <xdr:rowOff>0</xdr:rowOff>
    </xdr:from>
    <xdr:to>
      <xdr:col>30</xdr:col>
      <xdr:colOff>95250</xdr:colOff>
      <xdr:row>75</xdr:row>
      <xdr:rowOff>0</xdr:rowOff>
    </xdr:to>
    <xdr:pic>
      <xdr:nvPicPr>
        <xdr:cNvPr id="2687981" name="31 Imagen"/>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334125" y="4162425"/>
          <a:ext cx="5067300" cy="241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0</xdr:row>
      <xdr:rowOff>19050</xdr:rowOff>
    </xdr:from>
    <xdr:to>
      <xdr:col>6</xdr:col>
      <xdr:colOff>533399</xdr:colOff>
      <xdr:row>1</xdr:row>
      <xdr:rowOff>188111</xdr:rowOff>
    </xdr:to>
    <xdr:pic>
      <xdr:nvPicPr>
        <xdr:cNvPr id="7" name="6 Imagen"/>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8575" y="19050"/>
          <a:ext cx="1543049" cy="37861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133350</xdr:colOff>
      <xdr:row>3</xdr:row>
      <xdr:rowOff>9525</xdr:rowOff>
    </xdr:from>
    <xdr:to>
      <xdr:col>16</xdr:col>
      <xdr:colOff>581025</xdr:colOff>
      <xdr:row>86</xdr:row>
      <xdr:rowOff>180975</xdr:rowOff>
    </xdr:to>
    <xdr:graphicFrame macro="">
      <xdr:nvGraphicFramePr>
        <xdr:cNvPr id="314890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16</xdr:col>
      <xdr:colOff>352425</xdr:colOff>
      <xdr:row>0</xdr:row>
      <xdr:rowOff>0</xdr:rowOff>
    </xdr:from>
    <xdr:to>
      <xdr:col>17</xdr:col>
      <xdr:colOff>104775</xdr:colOff>
      <xdr:row>1</xdr:row>
      <xdr:rowOff>161925</xdr:rowOff>
    </xdr:to>
    <xdr:pic>
      <xdr:nvPicPr>
        <xdr:cNvPr id="3148904" name="14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82400" y="0"/>
          <a:ext cx="3905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xdr:from>
      <xdr:col>2</xdr:col>
      <xdr:colOff>1704979</xdr:colOff>
      <xdr:row>0</xdr:row>
      <xdr:rowOff>95250</xdr:rowOff>
    </xdr:from>
    <xdr:to>
      <xdr:col>2</xdr:col>
      <xdr:colOff>1981204</xdr:colOff>
      <xdr:row>1</xdr:row>
      <xdr:rowOff>76200</xdr:rowOff>
    </xdr:to>
    <xdr:sp macro="" textlink="">
      <xdr:nvSpPr>
        <xdr:cNvPr id="8" name="7 Flecha derecha">
          <a:hlinkClick xmlns:r="http://schemas.openxmlformats.org/officeDocument/2006/relationships" r:id="rId3"/>
        </xdr:cNvPr>
        <xdr:cNvSpPr/>
      </xdr:nvSpPr>
      <xdr:spPr>
        <a:xfrm>
          <a:off x="2143129" y="95250"/>
          <a:ext cx="276225" cy="180975"/>
        </a:xfrm>
        <a:prstGeom prst="rightArrow">
          <a:avLst/>
        </a:prstGeom>
        <a:solidFill>
          <a:srgbClr val="339966"/>
        </a:solidFill>
        <a:ln w="25400">
          <a:solidFill>
            <a:srgbClr val="CCFF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2</xdr:col>
      <xdr:colOff>1362075</xdr:colOff>
      <xdr:row>0</xdr:row>
      <xdr:rowOff>95251</xdr:rowOff>
    </xdr:from>
    <xdr:to>
      <xdr:col>2</xdr:col>
      <xdr:colOff>1628778</xdr:colOff>
      <xdr:row>1</xdr:row>
      <xdr:rowOff>85725</xdr:rowOff>
    </xdr:to>
    <xdr:sp macro="" textlink="">
      <xdr:nvSpPr>
        <xdr:cNvPr id="9" name="8 Flecha derecha">
          <a:hlinkClick xmlns:r="http://schemas.openxmlformats.org/officeDocument/2006/relationships" r:id="rId4"/>
        </xdr:cNvPr>
        <xdr:cNvSpPr/>
      </xdr:nvSpPr>
      <xdr:spPr>
        <a:xfrm flipH="1">
          <a:off x="1800225" y="95251"/>
          <a:ext cx="266703" cy="190499"/>
        </a:xfrm>
        <a:prstGeom prst="rightArrow">
          <a:avLst/>
        </a:prstGeom>
        <a:solidFill>
          <a:srgbClr val="339966"/>
        </a:solidFill>
        <a:ln w="25400">
          <a:solidFill>
            <a:srgbClr val="CCFF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editAs="oneCell">
    <xdr:from>
      <xdr:col>0</xdr:col>
      <xdr:colOff>19050</xdr:colOff>
      <xdr:row>0</xdr:row>
      <xdr:rowOff>19050</xdr:rowOff>
    </xdr:from>
    <xdr:to>
      <xdr:col>2</xdr:col>
      <xdr:colOff>1123949</xdr:colOff>
      <xdr:row>1</xdr:row>
      <xdr:rowOff>178586</xdr:rowOff>
    </xdr:to>
    <xdr:pic>
      <xdr:nvPicPr>
        <xdr:cNvPr id="7" name="6 Imagen"/>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9050" y="19050"/>
          <a:ext cx="1543049" cy="37861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14</xdr:col>
      <xdr:colOff>352425</xdr:colOff>
      <xdr:row>0</xdr:row>
      <xdr:rowOff>9525</xdr:rowOff>
    </xdr:from>
    <xdr:to>
      <xdr:col>14</xdr:col>
      <xdr:colOff>733425</xdr:colOff>
      <xdr:row>1</xdr:row>
      <xdr:rowOff>0</xdr:rowOff>
    </xdr:to>
    <xdr:pic>
      <xdr:nvPicPr>
        <xdr:cNvPr id="2705085" name="1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58575" y="9525"/>
          <a:ext cx="3810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266700</xdr:colOff>
      <xdr:row>0</xdr:row>
      <xdr:rowOff>123826</xdr:rowOff>
    </xdr:from>
    <xdr:to>
      <xdr:col>2</xdr:col>
      <xdr:colOff>533403</xdr:colOff>
      <xdr:row>0</xdr:row>
      <xdr:rowOff>314325</xdr:rowOff>
    </xdr:to>
    <xdr:sp macro="" textlink="">
      <xdr:nvSpPr>
        <xdr:cNvPr id="5" name="4 Flecha derecha">
          <a:hlinkClick xmlns:r="http://schemas.openxmlformats.org/officeDocument/2006/relationships" r:id="rId2"/>
        </xdr:cNvPr>
        <xdr:cNvSpPr/>
      </xdr:nvSpPr>
      <xdr:spPr>
        <a:xfrm flipH="1">
          <a:off x="1790700" y="123826"/>
          <a:ext cx="266703" cy="190499"/>
        </a:xfrm>
        <a:prstGeom prst="rightArrow">
          <a:avLst/>
        </a:prstGeom>
        <a:solidFill>
          <a:srgbClr val="339966"/>
        </a:solidFill>
        <a:ln w="25400">
          <a:solidFill>
            <a:srgbClr val="CCFF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editAs="oneCell">
    <xdr:from>
      <xdr:col>0</xdr:col>
      <xdr:colOff>28575</xdr:colOff>
      <xdr:row>0</xdr:row>
      <xdr:rowOff>28575</xdr:rowOff>
    </xdr:from>
    <xdr:to>
      <xdr:col>2</xdr:col>
      <xdr:colOff>47624</xdr:colOff>
      <xdr:row>0</xdr:row>
      <xdr:rowOff>407186</xdr:rowOff>
    </xdr:to>
    <xdr:pic>
      <xdr:nvPicPr>
        <xdr:cNvPr id="6" name="5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575" y="28575"/>
          <a:ext cx="1543049" cy="37861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7</xdr:col>
      <xdr:colOff>409575</xdr:colOff>
      <xdr:row>89</xdr:row>
      <xdr:rowOff>47625</xdr:rowOff>
    </xdr:from>
    <xdr:to>
      <xdr:col>15</xdr:col>
      <xdr:colOff>628650</xdr:colOff>
      <xdr:row>148</xdr:row>
      <xdr:rowOff>28575</xdr:rowOff>
    </xdr:to>
    <xdr:graphicFrame macro="">
      <xdr:nvGraphicFramePr>
        <xdr:cNvPr id="3081268"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1"/>
  <sheetViews>
    <sheetView topLeftCell="A43" workbookViewId="0">
      <selection activeCell="E73" sqref="E73"/>
    </sheetView>
  </sheetViews>
  <sheetFormatPr baseColWidth="10" defaultRowHeight="15" x14ac:dyDescent="0.25"/>
  <cols>
    <col min="1" max="1" width="14.140625" customWidth="1"/>
    <col min="2" max="2" width="16.42578125" bestFit="1" customWidth="1"/>
    <col min="3" max="3" width="16.85546875" bestFit="1" customWidth="1"/>
    <col min="4" max="4" width="14" bestFit="1" customWidth="1"/>
    <col min="5" max="5" width="10.5703125" bestFit="1" customWidth="1"/>
    <col min="6" max="6" width="8.5703125" bestFit="1" customWidth="1"/>
    <col min="7" max="7" width="10.5703125" bestFit="1" customWidth="1"/>
    <col min="8" max="8" width="8.5703125" bestFit="1" customWidth="1"/>
    <col min="9" max="9" width="10.5703125" bestFit="1" customWidth="1"/>
    <col min="10" max="10" width="8.5703125" bestFit="1" customWidth="1"/>
    <col min="11" max="11" width="10.5703125" bestFit="1" customWidth="1"/>
    <col min="12" max="12" width="42.5703125" bestFit="1" customWidth="1"/>
    <col min="16" max="16" width="28" bestFit="1" customWidth="1"/>
    <col min="17" max="17" width="10.7109375" bestFit="1" customWidth="1"/>
    <col min="18" max="18" width="6.28515625" bestFit="1" customWidth="1"/>
  </cols>
  <sheetData>
    <row r="1" spans="1:18" ht="33" x14ac:dyDescent="0.25">
      <c r="B1" s="348" t="s">
        <v>498</v>
      </c>
      <c r="C1" s="348" t="s">
        <v>116</v>
      </c>
      <c r="D1" s="349" t="s">
        <v>499</v>
      </c>
      <c r="E1" s="349" t="s">
        <v>117</v>
      </c>
      <c r="F1" s="319" t="s">
        <v>500</v>
      </c>
      <c r="G1" s="20" t="s">
        <v>118</v>
      </c>
      <c r="H1" s="321" t="s">
        <v>501</v>
      </c>
      <c r="I1" s="21" t="s">
        <v>119</v>
      </c>
      <c r="J1" s="320" t="s">
        <v>502</v>
      </c>
      <c r="K1" s="320" t="s">
        <v>120</v>
      </c>
      <c r="L1" s="210" t="s">
        <v>75</v>
      </c>
    </row>
    <row r="2" spans="1:18" x14ac:dyDescent="0.25">
      <c r="A2" s="310" t="s">
        <v>206</v>
      </c>
      <c r="B2" s="23">
        <v>0.22804054532011345</v>
      </c>
      <c r="C2" s="23">
        <v>0.34382433153064573</v>
      </c>
      <c r="D2" s="23">
        <v>0.2850506816501418</v>
      </c>
      <c r="E2" s="23">
        <v>0.42978041441330711</v>
      </c>
      <c r="F2" s="23">
        <v>0.34206081798017018</v>
      </c>
      <c r="G2" s="23">
        <v>0.5157364972959686</v>
      </c>
      <c r="H2" s="23">
        <v>0.39907095431019857</v>
      </c>
      <c r="I2" s="23">
        <v>0.60169258017863003</v>
      </c>
      <c r="J2" s="23">
        <v>0.45608109064022689</v>
      </c>
      <c r="K2" s="23">
        <v>0.68764866306129147</v>
      </c>
      <c r="L2" s="6" t="s">
        <v>486</v>
      </c>
      <c r="P2" s="328" t="s">
        <v>503</v>
      </c>
      <c r="Q2" s="328" t="s">
        <v>504</v>
      </c>
      <c r="R2" s="328" t="s">
        <v>505</v>
      </c>
    </row>
    <row r="3" spans="1:18" x14ac:dyDescent="0.25">
      <c r="A3" s="310" t="s">
        <v>58</v>
      </c>
      <c r="B3" s="23">
        <v>1.5489841521071678E-2</v>
      </c>
      <c r="C3" s="23">
        <v>4.8090381579979975E-2</v>
      </c>
      <c r="D3" s="23">
        <v>1.9362301901339599E-2</v>
      </c>
      <c r="E3" s="23">
        <v>6.0112976974974974E-2</v>
      </c>
      <c r="F3" s="23">
        <v>2.3234762281607518E-2</v>
      </c>
      <c r="G3" s="23">
        <v>7.2135572369969952E-2</v>
      </c>
      <c r="H3" s="23">
        <v>2.7107222661875437E-2</v>
      </c>
      <c r="I3" s="23">
        <v>8.4158167764964945E-2</v>
      </c>
      <c r="J3" s="23">
        <v>3.0979683042143356E-2</v>
      </c>
      <c r="K3" s="23">
        <v>9.6180763159959951E-2</v>
      </c>
      <c r="L3" s="6" t="s">
        <v>492</v>
      </c>
      <c r="P3" s="333" t="s">
        <v>3</v>
      </c>
      <c r="Q3" s="334">
        <v>0.61</v>
      </c>
      <c r="R3" s="335">
        <v>0.183</v>
      </c>
    </row>
    <row r="4" spans="1:18" x14ac:dyDescent="0.25">
      <c r="A4" s="310" t="s">
        <v>106</v>
      </c>
      <c r="B4" s="23">
        <v>2.3871095636996648E-2</v>
      </c>
      <c r="C4" s="23">
        <v>7.411115835844527E-2</v>
      </c>
      <c r="D4" s="23">
        <v>2.983886954624581E-2</v>
      </c>
      <c r="E4" s="23">
        <v>9.2638947948056591E-2</v>
      </c>
      <c r="F4" s="23">
        <v>3.5806643455494974E-2</v>
      </c>
      <c r="G4" s="23">
        <v>0.11116673753766791</v>
      </c>
      <c r="H4" s="23">
        <v>4.1774417364744132E-2</v>
      </c>
      <c r="I4" s="23">
        <v>0.12969452712727922</v>
      </c>
      <c r="J4" s="23">
        <v>4.7742191273993297E-2</v>
      </c>
      <c r="K4" s="23">
        <v>0.14822231671689054</v>
      </c>
      <c r="L4" s="6" t="s">
        <v>493</v>
      </c>
      <c r="P4" s="336" t="s">
        <v>182</v>
      </c>
      <c r="Q4" s="324">
        <v>0.61</v>
      </c>
      <c r="R4" s="322">
        <v>0.183</v>
      </c>
    </row>
    <row r="5" spans="1:18" x14ac:dyDescent="0.25">
      <c r="P5" s="336" t="s">
        <v>4</v>
      </c>
      <c r="Q5" s="337">
        <v>0.8</v>
      </c>
      <c r="R5" s="338">
        <v>0.504</v>
      </c>
    </row>
    <row r="6" spans="1:18" x14ac:dyDescent="0.25">
      <c r="P6" s="336" t="s">
        <v>156</v>
      </c>
      <c r="Q6" s="337">
        <v>0.9</v>
      </c>
      <c r="R6" s="338">
        <v>0.81200000000000006</v>
      </c>
    </row>
    <row r="7" spans="1:18" x14ac:dyDescent="0.25">
      <c r="P7" s="336" t="s">
        <v>0</v>
      </c>
      <c r="Q7" s="337">
        <v>0.62</v>
      </c>
      <c r="R7" s="338">
        <v>0.81200000000000006</v>
      </c>
    </row>
    <row r="8" spans="1:18" x14ac:dyDescent="0.25">
      <c r="P8" s="336" t="s">
        <v>202</v>
      </c>
      <c r="Q8" s="337">
        <v>0.8</v>
      </c>
      <c r="R8" s="338">
        <v>0.32300000000000001</v>
      </c>
    </row>
    <row r="9" spans="1:18" x14ac:dyDescent="0.25">
      <c r="A9" s="347" t="s">
        <v>489</v>
      </c>
      <c r="P9" s="333" t="s">
        <v>2</v>
      </c>
      <c r="Q9" s="334">
        <v>0.73</v>
      </c>
      <c r="R9" s="335">
        <v>0.504</v>
      </c>
    </row>
    <row r="10" spans="1:18" x14ac:dyDescent="0.25">
      <c r="A10" s="308" t="s">
        <v>482</v>
      </c>
      <c r="B10" s="308" t="s">
        <v>483</v>
      </c>
      <c r="C10" s="309" t="s">
        <v>484</v>
      </c>
      <c r="D10" s="308" t="s">
        <v>485</v>
      </c>
      <c r="P10" s="333" t="s">
        <v>10</v>
      </c>
      <c r="Q10" s="334">
        <v>0.75</v>
      </c>
      <c r="R10" s="335">
        <v>0.76700000000000002</v>
      </c>
    </row>
    <row r="11" spans="1:18" x14ac:dyDescent="0.25">
      <c r="A11" s="346">
        <v>35</v>
      </c>
      <c r="B11" s="310" t="s">
        <v>206</v>
      </c>
      <c r="C11" s="311">
        <v>20</v>
      </c>
      <c r="D11" s="312">
        <v>18.7</v>
      </c>
      <c r="P11" s="333" t="s">
        <v>506</v>
      </c>
      <c r="Q11" s="334">
        <v>0.55000000000000004</v>
      </c>
      <c r="R11" s="335">
        <v>0.183</v>
      </c>
    </row>
    <row r="12" spans="1:18" x14ac:dyDescent="0.25">
      <c r="A12" s="346">
        <v>45</v>
      </c>
      <c r="B12" s="310" t="s">
        <v>58</v>
      </c>
      <c r="C12" s="311">
        <v>20</v>
      </c>
      <c r="D12" s="312">
        <v>90</v>
      </c>
      <c r="P12" s="333" t="s">
        <v>172</v>
      </c>
      <c r="Q12" s="334">
        <v>1.28</v>
      </c>
      <c r="R12" s="335">
        <v>0.80900000000000005</v>
      </c>
    </row>
    <row r="13" spans="1:18" x14ac:dyDescent="0.25">
      <c r="A13" s="346">
        <v>46</v>
      </c>
      <c r="B13" s="310" t="s">
        <v>106</v>
      </c>
      <c r="C13" s="311">
        <v>20</v>
      </c>
      <c r="D13" s="312">
        <v>80</v>
      </c>
      <c r="P13" s="333" t="s">
        <v>13</v>
      </c>
      <c r="Q13" s="334">
        <v>0.44</v>
      </c>
      <c r="R13" s="335">
        <v>0.28499999999999998</v>
      </c>
    </row>
    <row r="14" spans="1:18" x14ac:dyDescent="0.25">
      <c r="P14" s="336" t="s">
        <v>15</v>
      </c>
      <c r="Q14" s="337">
        <v>0.8</v>
      </c>
      <c r="R14" s="338">
        <v>0.504</v>
      </c>
    </row>
    <row r="15" spans="1:18" x14ac:dyDescent="0.25">
      <c r="P15" s="336" t="s">
        <v>17</v>
      </c>
      <c r="Q15" s="337">
        <v>0.8</v>
      </c>
      <c r="R15" s="338">
        <v>0.32300000000000001</v>
      </c>
    </row>
    <row r="16" spans="1:18" x14ac:dyDescent="0.25">
      <c r="A16" s="347" t="s">
        <v>490</v>
      </c>
      <c r="P16" s="333" t="s">
        <v>507</v>
      </c>
      <c r="Q16" s="334">
        <v>0.55000000000000004</v>
      </c>
      <c r="R16" s="335">
        <v>0.34300000000000003</v>
      </c>
    </row>
    <row r="17" spans="1:18" x14ac:dyDescent="0.25">
      <c r="A17" s="343" t="s">
        <v>484</v>
      </c>
      <c r="B17" s="344" t="s">
        <v>206</v>
      </c>
      <c r="C17" s="344" t="s">
        <v>58</v>
      </c>
      <c r="D17" s="344" t="s">
        <v>106</v>
      </c>
      <c r="P17" s="336" t="s">
        <v>277</v>
      </c>
      <c r="Q17" s="337">
        <v>0.8</v>
      </c>
      <c r="R17" s="338">
        <v>0.34300000000000003</v>
      </c>
    </row>
    <row r="18" spans="1:18" x14ac:dyDescent="0.25">
      <c r="A18" s="345">
        <v>10</v>
      </c>
      <c r="B18" s="23">
        <v>2.9566428359213859E-2</v>
      </c>
      <c r="C18" s="23">
        <v>2.1975292660357693E-2</v>
      </c>
      <c r="D18" s="23">
        <v>4.051966817093941E-2</v>
      </c>
      <c r="P18" s="333" t="s">
        <v>274</v>
      </c>
      <c r="Q18" s="334">
        <v>0.81</v>
      </c>
      <c r="R18" s="335">
        <v>0.77100000000000002</v>
      </c>
    </row>
    <row r="19" spans="1:18" x14ac:dyDescent="0.25">
      <c r="A19" s="345">
        <v>15</v>
      </c>
      <c r="B19" s="23">
        <v>0.10761651024148783</v>
      </c>
      <c r="C19" s="23">
        <v>4.21312175671067E-2</v>
      </c>
      <c r="D19" s="23">
        <v>6.6490692352006359E-2</v>
      </c>
      <c r="P19" s="333" t="s">
        <v>23</v>
      </c>
      <c r="Q19" s="334">
        <v>0.81</v>
      </c>
      <c r="R19" s="335">
        <v>0.77100000000000002</v>
      </c>
    </row>
    <row r="20" spans="1:18" x14ac:dyDescent="0.25">
      <c r="A20" s="350">
        <v>20</v>
      </c>
      <c r="B20" s="206">
        <v>0.21321790987430608</v>
      </c>
      <c r="C20" s="206">
        <v>6.9704286844822549E-2</v>
      </c>
      <c r="D20" s="206">
        <v>9.5484382547986593E-2</v>
      </c>
      <c r="P20" s="336" t="s">
        <v>104</v>
      </c>
      <c r="Q20" s="337">
        <v>0.81</v>
      </c>
      <c r="R20" s="338">
        <v>0.77100000000000002</v>
      </c>
    </row>
    <row r="21" spans="1:18" x14ac:dyDescent="0.25">
      <c r="A21" s="345">
        <v>25</v>
      </c>
      <c r="B21" s="23">
        <v>0.41242294227326021</v>
      </c>
      <c r="C21" s="23">
        <v>0.10637074703611406</v>
      </c>
      <c r="D21" s="23">
        <v>0.13583999705392516</v>
      </c>
      <c r="P21" s="333" t="s">
        <v>24</v>
      </c>
      <c r="Q21" s="334">
        <v>0.81</v>
      </c>
      <c r="R21" s="335">
        <v>0.16300000000000001</v>
      </c>
    </row>
    <row r="22" spans="1:18" x14ac:dyDescent="0.25">
      <c r="A22" s="345">
        <v>30</v>
      </c>
      <c r="B22" s="23">
        <v>0.65717235454102241</v>
      </c>
      <c r="C22" s="23">
        <v>0.1474564781767394</v>
      </c>
      <c r="D22" s="23">
        <v>0.18866656050158939</v>
      </c>
      <c r="P22" s="333" t="s">
        <v>1</v>
      </c>
      <c r="Q22" s="334">
        <v>0.83</v>
      </c>
      <c r="R22" s="335">
        <v>0.504</v>
      </c>
    </row>
    <row r="23" spans="1:18" x14ac:dyDescent="0.25">
      <c r="A23" s="345">
        <v>35</v>
      </c>
      <c r="B23" s="23">
        <v>0.92312696026196195</v>
      </c>
      <c r="C23" s="23">
        <v>0.20421847513628544</v>
      </c>
      <c r="D23" s="23">
        <v>0.24904635619233595</v>
      </c>
      <c r="P23" s="333" t="s">
        <v>508</v>
      </c>
      <c r="Q23" s="334">
        <v>0.8</v>
      </c>
      <c r="R23" s="335">
        <v>0.504</v>
      </c>
    </row>
    <row r="24" spans="1:18" x14ac:dyDescent="0.25">
      <c r="A24" s="345">
        <v>40</v>
      </c>
      <c r="B24" s="23">
        <v>1.2623388412038461</v>
      </c>
      <c r="C24" s="23">
        <v>0.26351223654408806</v>
      </c>
      <c r="D24" s="23">
        <v>0.33332971017822705</v>
      </c>
      <c r="P24" s="333" t="s">
        <v>280</v>
      </c>
      <c r="Q24" s="334">
        <v>0.8</v>
      </c>
      <c r="R24" s="335">
        <v>0.32300000000000001</v>
      </c>
    </row>
    <row r="25" spans="1:18" x14ac:dyDescent="0.25">
      <c r="A25" s="345">
        <v>45</v>
      </c>
      <c r="B25" s="23">
        <v>1.6327250722344411</v>
      </c>
      <c r="C25" s="23">
        <v>0.33643211172898657</v>
      </c>
      <c r="D25" s="23">
        <v>0.41052872959034181</v>
      </c>
      <c r="P25" s="336" t="s">
        <v>270</v>
      </c>
      <c r="Q25" s="337">
        <v>0.8</v>
      </c>
      <c r="R25" s="338">
        <v>0.34300000000000003</v>
      </c>
    </row>
    <row r="26" spans="1:18" x14ac:dyDescent="0.25">
      <c r="A26" s="345">
        <v>50</v>
      </c>
      <c r="B26" s="23">
        <v>2.1777384305222007</v>
      </c>
      <c r="C26" s="23">
        <v>0.40587674952561892</v>
      </c>
      <c r="D26" s="23">
        <v>0.51374618343180112</v>
      </c>
      <c r="P26" s="327" t="s">
        <v>206</v>
      </c>
      <c r="Q26" s="326">
        <v>0.64</v>
      </c>
      <c r="R26" s="325">
        <v>0.28499999999999998</v>
      </c>
    </row>
    <row r="27" spans="1:18" x14ac:dyDescent="0.25">
      <c r="A27" s="345">
        <v>55</v>
      </c>
      <c r="B27" s="23">
        <v>3.1975169280737692</v>
      </c>
      <c r="C27" s="23">
        <v>0.52174230076833061</v>
      </c>
      <c r="D27" s="23">
        <v>0.62022324203983437</v>
      </c>
      <c r="P27" s="333" t="s">
        <v>509</v>
      </c>
      <c r="Q27" s="334">
        <v>0.8</v>
      </c>
      <c r="R27" s="335">
        <v>0.81200000000000006</v>
      </c>
    </row>
    <row r="28" spans="1:18" x14ac:dyDescent="0.25">
      <c r="A28" s="345">
        <v>60</v>
      </c>
      <c r="B28" s="23"/>
      <c r="C28" s="23">
        <v>0.60401232328431287</v>
      </c>
      <c r="D28" s="23">
        <v>0.76665175208012692</v>
      </c>
      <c r="P28" s="333" t="s">
        <v>186</v>
      </c>
      <c r="Q28" s="334">
        <v>1.28</v>
      </c>
      <c r="R28" s="335">
        <v>0.30299999999999999</v>
      </c>
    </row>
    <row r="29" spans="1:18" x14ac:dyDescent="0.25">
      <c r="A29" s="345">
        <v>65</v>
      </c>
      <c r="B29" s="23"/>
      <c r="C29" s="23">
        <v>0.69710210971517172</v>
      </c>
      <c r="D29" s="23">
        <v>0.84606008930260879</v>
      </c>
      <c r="P29" s="333" t="s">
        <v>39</v>
      </c>
      <c r="Q29" s="334">
        <v>0.8</v>
      </c>
      <c r="R29" s="335">
        <v>0.32300000000000001</v>
      </c>
    </row>
    <row r="30" spans="1:18" x14ac:dyDescent="0.25">
      <c r="A30" s="345">
        <v>70</v>
      </c>
      <c r="B30" s="23"/>
      <c r="C30" s="23">
        <v>1.0412385251394589</v>
      </c>
      <c r="D30" s="23">
        <v>1.3808629951019002</v>
      </c>
      <c r="P30" s="333" t="s">
        <v>40</v>
      </c>
      <c r="Q30" s="334">
        <v>0.8</v>
      </c>
      <c r="R30" s="335">
        <v>0.30299999999999999</v>
      </c>
    </row>
    <row r="31" spans="1:18" x14ac:dyDescent="0.25">
      <c r="P31" s="333" t="s">
        <v>41</v>
      </c>
      <c r="Q31" s="334">
        <v>0.44</v>
      </c>
      <c r="R31" s="335">
        <v>0.183</v>
      </c>
    </row>
    <row r="32" spans="1:18" x14ac:dyDescent="0.25">
      <c r="P32" s="333" t="s">
        <v>42</v>
      </c>
      <c r="Q32" s="334">
        <v>0.55000000000000004</v>
      </c>
      <c r="R32" s="335">
        <v>0.25900000000000001</v>
      </c>
    </row>
    <row r="33" spans="1:18" x14ac:dyDescent="0.25">
      <c r="P33" s="333" t="s">
        <v>43</v>
      </c>
      <c r="Q33" s="334">
        <v>0.74</v>
      </c>
      <c r="R33" s="335">
        <v>0.22900000000000001</v>
      </c>
    </row>
    <row r="34" spans="1:18" x14ac:dyDescent="0.25">
      <c r="A34" s="343" t="s">
        <v>93</v>
      </c>
      <c r="B34" s="343" t="s">
        <v>484</v>
      </c>
      <c r="C34" s="308" t="s">
        <v>495</v>
      </c>
      <c r="D34" s="323" t="s">
        <v>496</v>
      </c>
      <c r="P34" s="333" t="s">
        <v>44</v>
      </c>
      <c r="Q34" s="334">
        <v>0.64</v>
      </c>
      <c r="R34" s="335">
        <v>0.24</v>
      </c>
    </row>
    <row r="35" spans="1:18" x14ac:dyDescent="0.25">
      <c r="A35" s="351" t="s">
        <v>206</v>
      </c>
      <c r="B35" s="6">
        <v>20</v>
      </c>
      <c r="C35" s="312">
        <v>18.7</v>
      </c>
      <c r="D35" s="303">
        <v>0.21321790987430608</v>
      </c>
      <c r="P35" s="333" t="s">
        <v>109</v>
      </c>
      <c r="Q35" s="334">
        <v>0.55000000000000004</v>
      </c>
      <c r="R35" s="335">
        <v>0.28499999999999998</v>
      </c>
    </row>
    <row r="36" spans="1:18" x14ac:dyDescent="0.25">
      <c r="A36" s="352"/>
      <c r="B36" s="353"/>
      <c r="C36" s="354">
        <v>20</v>
      </c>
      <c r="D36" s="355">
        <v>0.22804054532011345</v>
      </c>
      <c r="P36" s="333" t="s">
        <v>45</v>
      </c>
      <c r="Q36" s="334">
        <v>0.55000000000000004</v>
      </c>
      <c r="R36" s="335">
        <v>0.28499999999999998</v>
      </c>
    </row>
    <row r="37" spans="1:18" x14ac:dyDescent="0.25">
      <c r="A37" s="352"/>
      <c r="B37" s="353"/>
      <c r="C37" s="354">
        <v>25</v>
      </c>
      <c r="D37" s="355">
        <v>0.2850506816501418</v>
      </c>
      <c r="P37" s="333" t="s">
        <v>149</v>
      </c>
      <c r="Q37" s="334">
        <v>0.55000000000000004</v>
      </c>
      <c r="R37" s="335">
        <v>0.28499999999999998</v>
      </c>
    </row>
    <row r="38" spans="1:18" x14ac:dyDescent="0.25">
      <c r="A38" s="352"/>
      <c r="B38" s="353"/>
      <c r="C38" s="354">
        <v>30</v>
      </c>
      <c r="D38" s="355">
        <v>0.34206081798017018</v>
      </c>
      <c r="P38" s="333" t="s">
        <v>46</v>
      </c>
      <c r="Q38" s="334">
        <v>0.73</v>
      </c>
      <c r="R38" s="335">
        <v>0.24299999999999999</v>
      </c>
    </row>
    <row r="39" spans="1:18" x14ac:dyDescent="0.25">
      <c r="A39" s="352"/>
      <c r="B39" s="353"/>
      <c r="C39" s="354">
        <v>35</v>
      </c>
      <c r="D39" s="355">
        <v>0.39907095431019857</v>
      </c>
      <c r="P39" s="333" t="s">
        <v>47</v>
      </c>
      <c r="Q39" s="334">
        <v>0.44</v>
      </c>
      <c r="R39" s="335">
        <v>0.28499999999999998</v>
      </c>
    </row>
    <row r="40" spans="1:18" x14ac:dyDescent="0.25">
      <c r="A40" s="352"/>
      <c r="B40" s="353"/>
      <c r="C40" s="354">
        <v>40</v>
      </c>
      <c r="D40" s="355">
        <v>0.45608109064022689</v>
      </c>
      <c r="P40" s="333" t="s">
        <v>48</v>
      </c>
      <c r="Q40" s="334">
        <v>0.62</v>
      </c>
      <c r="R40" s="335">
        <v>0.27900000000000003</v>
      </c>
    </row>
    <row r="41" spans="1:18" x14ac:dyDescent="0.25">
      <c r="A41" s="351" t="s">
        <v>58</v>
      </c>
      <c r="B41" s="6">
        <v>20</v>
      </c>
      <c r="C41" s="312">
        <v>90</v>
      </c>
      <c r="D41" s="303">
        <v>6.9704286844822549E-2</v>
      </c>
      <c r="P41" s="333" t="s">
        <v>49</v>
      </c>
      <c r="Q41" s="334">
        <v>0.61</v>
      </c>
      <c r="R41" s="335">
        <v>0.38500000000000001</v>
      </c>
    </row>
    <row r="42" spans="1:18" x14ac:dyDescent="0.25">
      <c r="A42" s="352"/>
      <c r="B42" s="353"/>
      <c r="C42" s="354">
        <v>20</v>
      </c>
      <c r="D42" s="355">
        <v>1.5489841521071678E-2</v>
      </c>
      <c r="P42" s="333" t="s">
        <v>510</v>
      </c>
      <c r="Q42" s="334">
        <v>0.9</v>
      </c>
      <c r="R42" s="335">
        <v>0.76700000000000002</v>
      </c>
    </row>
    <row r="43" spans="1:18" x14ac:dyDescent="0.25">
      <c r="A43" s="352"/>
      <c r="B43" s="353"/>
      <c r="C43" s="354">
        <v>25</v>
      </c>
      <c r="D43" s="355">
        <v>1.9362301901339599E-2</v>
      </c>
      <c r="P43" s="333" t="s">
        <v>267</v>
      </c>
      <c r="Q43" s="334">
        <v>0.62</v>
      </c>
      <c r="R43" s="335">
        <v>0.36299999999999999</v>
      </c>
    </row>
    <row r="44" spans="1:18" x14ac:dyDescent="0.25">
      <c r="A44" s="352"/>
      <c r="B44" s="353"/>
      <c r="C44" s="354">
        <v>30</v>
      </c>
      <c r="D44" s="355">
        <v>2.3234762281607518E-2</v>
      </c>
      <c r="P44" s="333" t="s">
        <v>52</v>
      </c>
      <c r="Q44" s="334">
        <v>0.62</v>
      </c>
      <c r="R44" s="335">
        <v>0.36299999999999999</v>
      </c>
    </row>
    <row r="45" spans="1:18" x14ac:dyDescent="0.25">
      <c r="A45" s="352"/>
      <c r="B45" s="353"/>
      <c r="C45" s="354">
        <v>35</v>
      </c>
      <c r="D45" s="355">
        <v>2.7107222661875437E-2</v>
      </c>
      <c r="P45" s="333" t="s">
        <v>54</v>
      </c>
      <c r="Q45" s="334">
        <v>0.8</v>
      </c>
      <c r="R45" s="335">
        <v>0.504</v>
      </c>
    </row>
    <row r="46" spans="1:18" x14ac:dyDescent="0.25">
      <c r="A46" s="352"/>
      <c r="B46" s="353"/>
      <c r="C46" s="354">
        <v>40</v>
      </c>
      <c r="D46" s="355">
        <v>3.0979683042143356E-2</v>
      </c>
      <c r="P46" s="333" t="s">
        <v>210</v>
      </c>
      <c r="Q46" s="334">
        <v>0.44</v>
      </c>
      <c r="R46" s="335">
        <v>0.28499999999999998</v>
      </c>
    </row>
    <row r="47" spans="1:18" x14ac:dyDescent="0.25">
      <c r="A47" s="351" t="s">
        <v>106</v>
      </c>
      <c r="B47" s="6">
        <v>20</v>
      </c>
      <c r="C47" s="312">
        <v>80</v>
      </c>
      <c r="D47" s="303">
        <v>9.5484382547986593E-2</v>
      </c>
      <c r="P47" s="333" t="s">
        <v>180</v>
      </c>
      <c r="Q47" s="334">
        <v>1</v>
      </c>
      <c r="R47" s="335">
        <v>0.49</v>
      </c>
    </row>
    <row r="48" spans="1:18" x14ac:dyDescent="0.25">
      <c r="A48" s="352"/>
      <c r="B48" s="353"/>
      <c r="C48" s="354">
        <v>20</v>
      </c>
      <c r="D48" s="355">
        <v>2.3871095636996648E-2</v>
      </c>
      <c r="P48" s="333" t="s">
        <v>57</v>
      </c>
      <c r="Q48" s="334">
        <v>1.1100000000000001</v>
      </c>
      <c r="R48" s="335">
        <v>0.35699999999999998</v>
      </c>
    </row>
    <row r="49" spans="1:18" x14ac:dyDescent="0.25">
      <c r="A49" s="352"/>
      <c r="B49" s="353"/>
      <c r="C49" s="354">
        <v>25</v>
      </c>
      <c r="D49" s="355">
        <v>2.983886954624581E-2</v>
      </c>
      <c r="P49" s="327" t="s">
        <v>58</v>
      </c>
      <c r="Q49" s="326">
        <v>1.28</v>
      </c>
      <c r="R49" s="325">
        <v>0.32300000000000001</v>
      </c>
    </row>
    <row r="50" spans="1:18" x14ac:dyDescent="0.25">
      <c r="A50" s="352"/>
      <c r="B50" s="353"/>
      <c r="C50" s="354">
        <v>30</v>
      </c>
      <c r="D50" s="355">
        <v>3.5806643455494974E-2</v>
      </c>
      <c r="P50" s="333" t="s">
        <v>59</v>
      </c>
      <c r="Q50" s="334">
        <v>0.84</v>
      </c>
      <c r="R50" s="335">
        <v>0.35699999999999998</v>
      </c>
    </row>
    <row r="51" spans="1:18" x14ac:dyDescent="0.25">
      <c r="A51" s="352"/>
      <c r="B51" s="353"/>
      <c r="C51" s="354">
        <v>35</v>
      </c>
      <c r="D51" s="355">
        <v>4.1774417364744132E-2</v>
      </c>
      <c r="P51" s="333" t="s">
        <v>60</v>
      </c>
      <c r="Q51" s="334">
        <v>0.89</v>
      </c>
      <c r="R51" s="335">
        <v>0.35699999999999998</v>
      </c>
    </row>
    <row r="52" spans="1:18" x14ac:dyDescent="0.25">
      <c r="A52" s="352"/>
      <c r="B52" s="353"/>
      <c r="C52" s="354">
        <v>40</v>
      </c>
      <c r="D52" s="355">
        <v>4.7742191273993297E-2</v>
      </c>
      <c r="P52" s="333" t="s">
        <v>61</v>
      </c>
      <c r="Q52" s="334">
        <v>1.1100000000000001</v>
      </c>
      <c r="R52" s="335">
        <v>0.35299999999999998</v>
      </c>
    </row>
    <row r="53" spans="1:18" x14ac:dyDescent="0.25">
      <c r="P53" s="333" t="s">
        <v>62</v>
      </c>
      <c r="Q53" s="334">
        <v>0.84</v>
      </c>
      <c r="R53" s="335">
        <v>0.35699999999999998</v>
      </c>
    </row>
    <row r="54" spans="1:18" x14ac:dyDescent="0.25">
      <c r="P54" s="333" t="s">
        <v>98</v>
      </c>
      <c r="Q54" s="334">
        <v>0.8</v>
      </c>
      <c r="R54" s="335">
        <v>0.35699999999999998</v>
      </c>
    </row>
    <row r="55" spans="1:18" x14ac:dyDescent="0.25">
      <c r="P55" s="327" t="s">
        <v>106</v>
      </c>
      <c r="Q55" s="326">
        <v>1.28</v>
      </c>
      <c r="R55" s="325">
        <v>0.32300000000000001</v>
      </c>
    </row>
    <row r="56" spans="1:18" x14ac:dyDescent="0.25">
      <c r="A56" s="356" t="s">
        <v>491</v>
      </c>
      <c r="P56" s="333" t="s">
        <v>511</v>
      </c>
      <c r="Q56" s="334">
        <v>0.8</v>
      </c>
      <c r="R56" s="335">
        <v>0.504</v>
      </c>
    </row>
    <row r="57" spans="1:18" ht="37.5" customHeight="1" x14ac:dyDescent="0.25">
      <c r="B57" s="348" t="s">
        <v>116</v>
      </c>
      <c r="C57" s="349" t="s">
        <v>117</v>
      </c>
      <c r="D57" s="20" t="s">
        <v>118</v>
      </c>
      <c r="E57" s="21" t="s">
        <v>119</v>
      </c>
      <c r="F57" s="22" t="s">
        <v>120</v>
      </c>
      <c r="G57" s="210" t="s">
        <v>75</v>
      </c>
      <c r="P57" s="333" t="s">
        <v>211</v>
      </c>
      <c r="Q57" s="334">
        <v>0.8</v>
      </c>
      <c r="R57" s="335">
        <v>0.504</v>
      </c>
    </row>
    <row r="58" spans="1:18" x14ac:dyDescent="0.25">
      <c r="A58" s="310" t="s">
        <v>206</v>
      </c>
      <c r="B58" s="23">
        <v>0.34382433153064573</v>
      </c>
      <c r="C58" s="23">
        <v>0.42978041441330711</v>
      </c>
      <c r="D58" s="23">
        <v>0.5157364972959686</v>
      </c>
      <c r="E58" s="23">
        <v>0.60169258017863003</v>
      </c>
      <c r="F58" s="23">
        <v>0.68764866306129147</v>
      </c>
      <c r="G58" s="236" t="s">
        <v>486</v>
      </c>
      <c r="P58" s="333" t="s">
        <v>512</v>
      </c>
      <c r="Q58" s="334">
        <v>0.8</v>
      </c>
      <c r="R58" s="335">
        <v>0.504</v>
      </c>
    </row>
    <row r="59" spans="1:18" x14ac:dyDescent="0.25">
      <c r="A59" s="310" t="s">
        <v>58</v>
      </c>
      <c r="B59" s="23">
        <v>4.8090381579979975E-2</v>
      </c>
      <c r="C59" s="23">
        <v>6.0112976974974974E-2</v>
      </c>
      <c r="D59" s="23">
        <v>7.2135572369969952E-2</v>
      </c>
      <c r="E59" s="23">
        <v>8.4158167764964945E-2</v>
      </c>
      <c r="F59" s="23">
        <v>9.6180763159959951E-2</v>
      </c>
      <c r="G59" s="236" t="s">
        <v>492</v>
      </c>
      <c r="P59" s="333" t="s">
        <v>67</v>
      </c>
      <c r="Q59" s="334">
        <v>0.8</v>
      </c>
      <c r="R59" s="335">
        <v>0.81200000000000006</v>
      </c>
    </row>
    <row r="60" spans="1:18" x14ac:dyDescent="0.25">
      <c r="A60" s="310" t="s">
        <v>106</v>
      </c>
      <c r="B60" s="23">
        <v>7.411115835844527E-2</v>
      </c>
      <c r="C60" s="23">
        <v>9.2638947948056591E-2</v>
      </c>
      <c r="D60" s="23">
        <v>0.11116673753766791</v>
      </c>
      <c r="E60" s="23">
        <v>0.12969452712727922</v>
      </c>
      <c r="F60" s="23">
        <v>0.14822231671689054</v>
      </c>
      <c r="G60" s="236" t="s">
        <v>493</v>
      </c>
      <c r="P60" s="333" t="s">
        <v>72</v>
      </c>
      <c r="Q60" s="334">
        <v>0.9</v>
      </c>
      <c r="R60" s="335">
        <v>0.16300000000000001</v>
      </c>
    </row>
    <row r="61" spans="1:18" x14ac:dyDescent="0.25">
      <c r="P61" s="333" t="s">
        <v>73</v>
      </c>
      <c r="Q61" s="334">
        <v>0.9</v>
      </c>
      <c r="R61" s="335">
        <v>0.504</v>
      </c>
    </row>
    <row r="62" spans="1:18" x14ac:dyDescent="0.25">
      <c r="P62" s="339" t="s">
        <v>16</v>
      </c>
      <c r="Q62" s="334">
        <v>0.8</v>
      </c>
      <c r="R62" s="335">
        <v>0.32300000000000001</v>
      </c>
    </row>
    <row r="63" spans="1:18" x14ac:dyDescent="0.25">
      <c r="A63" s="356" t="s">
        <v>494</v>
      </c>
      <c r="P63" s="339" t="s">
        <v>264</v>
      </c>
      <c r="Q63" s="334">
        <v>0.9</v>
      </c>
      <c r="R63" s="340">
        <v>0.81200000000000006</v>
      </c>
    </row>
    <row r="64" spans="1:18" ht="37.5" customHeight="1" x14ac:dyDescent="0.25">
      <c r="A64" s="357" t="s">
        <v>93</v>
      </c>
      <c r="B64" s="348" t="s">
        <v>116</v>
      </c>
      <c r="C64" s="349" t="s">
        <v>117</v>
      </c>
      <c r="D64" s="20" t="s">
        <v>118</v>
      </c>
      <c r="E64" s="21" t="s">
        <v>119</v>
      </c>
      <c r="F64" s="22" t="s">
        <v>120</v>
      </c>
      <c r="G64" s="210" t="s">
        <v>75</v>
      </c>
      <c r="P64" s="339" t="s">
        <v>64</v>
      </c>
      <c r="Q64" s="334">
        <v>0.8</v>
      </c>
      <c r="R64" s="340">
        <v>0.504</v>
      </c>
    </row>
    <row r="65" spans="1:18" x14ac:dyDescent="0.25">
      <c r="A65" s="358" t="s">
        <v>206</v>
      </c>
      <c r="B65" s="303">
        <v>0.51560045604332738</v>
      </c>
      <c r="C65" s="303">
        <v>0.81506933290666295</v>
      </c>
      <c r="D65" s="303">
        <v>0.97808319948799549</v>
      </c>
      <c r="E65" s="303">
        <v>1.3021249696380088</v>
      </c>
      <c r="F65" s="303">
        <v>1.6850556430672088</v>
      </c>
      <c r="G65" s="236" t="s">
        <v>478</v>
      </c>
      <c r="P65" s="339" t="s">
        <v>36</v>
      </c>
      <c r="Q65" s="334">
        <v>0.9</v>
      </c>
      <c r="R65" s="340">
        <v>0.32300000000000001</v>
      </c>
    </row>
    <row r="66" spans="1:18" x14ac:dyDescent="0.25">
      <c r="A66" s="358" t="s">
        <v>58</v>
      </c>
      <c r="B66" s="303">
        <v>4.3569848746908557E-2</v>
      </c>
      <c r="C66" s="303">
        <v>5.4462310933635683E-2</v>
      </c>
      <c r="D66" s="303">
        <v>6.5354773120362836E-2</v>
      </c>
      <c r="E66" s="303">
        <v>0.1027779472551259</v>
      </c>
      <c r="F66" s="303">
        <v>0.11746051114871532</v>
      </c>
      <c r="G66" s="236" t="s">
        <v>478</v>
      </c>
      <c r="P66" s="339" t="s">
        <v>262</v>
      </c>
      <c r="Q66" s="334">
        <v>0.62</v>
      </c>
      <c r="R66" s="340">
        <v>0.81200000000000006</v>
      </c>
    </row>
    <row r="67" spans="1:18" ht="25.5" x14ac:dyDescent="0.25">
      <c r="A67" s="358" t="s">
        <v>106</v>
      </c>
      <c r="B67" s="303">
        <v>8.9315736942597715E-2</v>
      </c>
      <c r="C67" s="303">
        <v>0.11164467117824715</v>
      </c>
      <c r="D67" s="303">
        <v>0.15422721943681011</v>
      </c>
      <c r="E67" s="303">
        <v>0.17993175600961181</v>
      </c>
      <c r="F67" s="303">
        <v>0.20563629258241348</v>
      </c>
      <c r="G67" s="236" t="s">
        <v>478</v>
      </c>
      <c r="P67" s="339" t="s">
        <v>281</v>
      </c>
      <c r="Q67" s="334">
        <v>0.62</v>
      </c>
      <c r="R67" s="340">
        <v>0.36299999999999999</v>
      </c>
    </row>
    <row r="68" spans="1:18" x14ac:dyDescent="0.25">
      <c r="P68" s="339" t="s">
        <v>107</v>
      </c>
      <c r="Q68" s="334">
        <v>0.8</v>
      </c>
      <c r="R68" s="340">
        <v>0.34300000000000003</v>
      </c>
    </row>
    <row r="69" spans="1:18" x14ac:dyDescent="0.25">
      <c r="P69" s="339" t="s">
        <v>110</v>
      </c>
      <c r="Q69" s="334">
        <v>0.62</v>
      </c>
      <c r="R69" s="340">
        <v>0.36299999999999999</v>
      </c>
    </row>
    <row r="70" spans="1:18" x14ac:dyDescent="0.25">
      <c r="P70" s="339" t="s">
        <v>22</v>
      </c>
      <c r="Q70" s="334">
        <v>0.81</v>
      </c>
      <c r="R70" s="340">
        <v>0.77100000000000002</v>
      </c>
    </row>
    <row r="71" spans="1:18" x14ac:dyDescent="0.25">
      <c r="P71" s="339" t="s">
        <v>204</v>
      </c>
      <c r="Q71" s="334">
        <v>0.8</v>
      </c>
      <c r="R71" s="340">
        <v>0.34300000000000003</v>
      </c>
    </row>
    <row r="72" spans="1:18" x14ac:dyDescent="0.25">
      <c r="P72" s="331" t="s">
        <v>209</v>
      </c>
      <c r="Q72" s="334">
        <v>0.62</v>
      </c>
      <c r="R72" s="340">
        <v>0.36299999999999999</v>
      </c>
    </row>
    <row r="73" spans="1:18" x14ac:dyDescent="0.25">
      <c r="P73" s="331" t="s">
        <v>212</v>
      </c>
      <c r="Q73" s="334">
        <v>0.8</v>
      </c>
      <c r="R73" s="340">
        <v>0.34300000000000003</v>
      </c>
    </row>
    <row r="74" spans="1:18" x14ac:dyDescent="0.25">
      <c r="P74" s="330" t="s">
        <v>203</v>
      </c>
      <c r="Q74" s="334">
        <v>0.81</v>
      </c>
      <c r="R74" s="340">
        <v>0.34300000000000003</v>
      </c>
    </row>
    <row r="75" spans="1:18" x14ac:dyDescent="0.25">
      <c r="P75" s="330" t="s">
        <v>208</v>
      </c>
      <c r="Q75" s="334">
        <v>0.55000000000000004</v>
      </c>
      <c r="R75" s="340">
        <v>0.28499999999999998</v>
      </c>
    </row>
    <row r="76" spans="1:18" x14ac:dyDescent="0.25">
      <c r="P76" s="330" t="s">
        <v>30</v>
      </c>
      <c r="Q76" s="334">
        <v>0.62</v>
      </c>
      <c r="R76" s="340">
        <v>0.32300000000000001</v>
      </c>
    </row>
    <row r="77" spans="1:18" x14ac:dyDescent="0.25">
      <c r="P77" s="330" t="s">
        <v>279</v>
      </c>
      <c r="Q77" s="334">
        <v>0.55000000000000004</v>
      </c>
      <c r="R77" s="340">
        <v>0.28499999999999998</v>
      </c>
    </row>
    <row r="78" spans="1:18" x14ac:dyDescent="0.25">
      <c r="P78" s="330" t="s">
        <v>108</v>
      </c>
      <c r="Q78" s="334">
        <v>0.83</v>
      </c>
      <c r="R78" s="340">
        <v>0.504</v>
      </c>
    </row>
    <row r="79" spans="1:18" x14ac:dyDescent="0.25">
      <c r="P79" s="341" t="s">
        <v>25</v>
      </c>
      <c r="Q79" s="334">
        <v>0.8</v>
      </c>
      <c r="R79" s="340">
        <v>0.32300000000000001</v>
      </c>
    </row>
    <row r="80" spans="1:18" x14ac:dyDescent="0.25">
      <c r="P80" s="341" t="s">
        <v>21</v>
      </c>
      <c r="Q80" s="334">
        <v>0.8</v>
      </c>
      <c r="R80" s="340">
        <v>0.34300000000000003</v>
      </c>
    </row>
    <row r="81" spans="16:18" x14ac:dyDescent="0.25">
      <c r="P81" s="341" t="s">
        <v>27</v>
      </c>
      <c r="Q81" s="334">
        <v>0.73</v>
      </c>
      <c r="R81" s="340">
        <v>0.504</v>
      </c>
    </row>
    <row r="82" spans="16:18" x14ac:dyDescent="0.25">
      <c r="P82" s="341" t="s">
        <v>26</v>
      </c>
      <c r="Q82" s="334">
        <v>0.8</v>
      </c>
      <c r="R82" s="340">
        <v>0.32300000000000001</v>
      </c>
    </row>
    <row r="83" spans="16:18" x14ac:dyDescent="0.25">
      <c r="P83" s="341" t="s">
        <v>207</v>
      </c>
      <c r="Q83" s="334" t="s">
        <v>100</v>
      </c>
      <c r="R83" s="340" t="s">
        <v>100</v>
      </c>
    </row>
    <row r="84" spans="16:18" x14ac:dyDescent="0.25">
      <c r="P84" s="341" t="s">
        <v>284</v>
      </c>
      <c r="Q84" s="334" t="s">
        <v>100</v>
      </c>
      <c r="R84" s="340" t="s">
        <v>100</v>
      </c>
    </row>
    <row r="85" spans="16:18" x14ac:dyDescent="0.25">
      <c r="P85" s="341" t="s">
        <v>285</v>
      </c>
      <c r="Q85" s="334">
        <v>0.8</v>
      </c>
      <c r="R85" s="340">
        <v>0.34300000000000003</v>
      </c>
    </row>
    <row r="86" spans="16:18" x14ac:dyDescent="0.25">
      <c r="P86" s="341" t="s">
        <v>286</v>
      </c>
      <c r="Q86" s="334">
        <v>0.8</v>
      </c>
      <c r="R86" s="340">
        <v>0.30299999999999999</v>
      </c>
    </row>
    <row r="87" spans="16:18" x14ac:dyDescent="0.25">
      <c r="P87" s="342" t="s">
        <v>271</v>
      </c>
      <c r="Q87" s="334">
        <v>0.8</v>
      </c>
      <c r="R87" s="340">
        <v>0.504</v>
      </c>
    </row>
    <row r="88" spans="16:18" x14ac:dyDescent="0.25">
      <c r="P88" s="342" t="s">
        <v>273</v>
      </c>
      <c r="Q88" s="334">
        <v>0.9</v>
      </c>
      <c r="R88" s="340">
        <v>0.504</v>
      </c>
    </row>
    <row r="89" spans="16:18" x14ac:dyDescent="0.25">
      <c r="P89" s="341" t="s">
        <v>176</v>
      </c>
      <c r="Q89" s="334">
        <v>0.83</v>
      </c>
      <c r="R89" s="340">
        <v>0.504</v>
      </c>
    </row>
    <row r="90" spans="16:18" x14ac:dyDescent="0.25">
      <c r="P90" s="329" t="s">
        <v>173</v>
      </c>
      <c r="Q90" s="334">
        <v>0.81</v>
      </c>
      <c r="R90" s="340">
        <v>0.77100000000000002</v>
      </c>
    </row>
    <row r="91" spans="16:18" x14ac:dyDescent="0.25">
      <c r="P91" s="332" t="s">
        <v>205</v>
      </c>
      <c r="Q91" s="334">
        <v>0.8</v>
      </c>
      <c r="R91" s="340">
        <v>0.34300000000000003</v>
      </c>
    </row>
  </sheetData>
  <phoneticPr fontId="75" type="noConversion"/>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3"/>
  <sheetViews>
    <sheetView workbookViewId="0">
      <selection activeCell="H95" activeCellId="1" sqref="I29 H95"/>
    </sheetView>
  </sheetViews>
  <sheetFormatPr baseColWidth="10" defaultRowHeight="15" x14ac:dyDescent="0.25"/>
  <cols>
    <col min="1" max="1" width="26.28515625" style="4" bestFit="1" customWidth="1"/>
  </cols>
  <sheetData>
    <row r="2" spans="1:1" x14ac:dyDescent="0.25">
      <c r="A2" s="3" t="s">
        <v>30</v>
      </c>
    </row>
    <row r="3" spans="1:1" x14ac:dyDescent="0.25">
      <c r="A3" s="3" t="s">
        <v>31</v>
      </c>
    </row>
    <row r="4" spans="1:1" x14ac:dyDescent="0.25">
      <c r="A4" s="3" t="s">
        <v>74</v>
      </c>
    </row>
    <row r="5" spans="1:1" x14ac:dyDescent="0.25">
      <c r="A5" s="3" t="s">
        <v>32</v>
      </c>
    </row>
    <row r="6" spans="1:1" x14ac:dyDescent="0.25">
      <c r="A6" s="3" t="s">
        <v>35</v>
      </c>
    </row>
    <row r="7" spans="1:1" x14ac:dyDescent="0.25">
      <c r="A7" s="3" t="s">
        <v>36</v>
      </c>
    </row>
    <row r="8" spans="1:1" x14ac:dyDescent="0.25">
      <c r="A8" s="3" t="s">
        <v>37</v>
      </c>
    </row>
    <row r="9" spans="1:1" x14ac:dyDescent="0.25">
      <c r="A9" s="3" t="s">
        <v>38</v>
      </c>
    </row>
    <row r="10" spans="1:1" x14ac:dyDescent="0.25">
      <c r="A10" s="3" t="s">
        <v>56</v>
      </c>
    </row>
    <row r="11" spans="1:1" x14ac:dyDescent="0.25">
      <c r="A11" s="3" t="s">
        <v>66</v>
      </c>
    </row>
    <row r="12" spans="1:1" x14ac:dyDescent="0.25">
      <c r="A12" s="3" t="s">
        <v>68</v>
      </c>
    </row>
    <row r="13" spans="1:1" x14ac:dyDescent="0.25">
      <c r="A13" s="3" t="s">
        <v>16</v>
      </c>
    </row>
  </sheetData>
  <phoneticPr fontId="75"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7"/>
  <sheetViews>
    <sheetView workbookViewId="0">
      <selection activeCell="G25" sqref="G25"/>
    </sheetView>
  </sheetViews>
  <sheetFormatPr baseColWidth="10" defaultRowHeight="15" x14ac:dyDescent="0.25"/>
  <cols>
    <col min="1" max="1" width="25.85546875" style="149" bestFit="1" customWidth="1"/>
    <col min="2" max="2" width="30" style="149" bestFit="1" customWidth="1"/>
    <col min="3" max="3" width="3.28515625" style="149" customWidth="1"/>
    <col min="4" max="4" width="16.7109375" style="149" bestFit="1" customWidth="1"/>
    <col min="5" max="5" width="30" style="149" bestFit="1" customWidth="1"/>
  </cols>
  <sheetData>
    <row r="1" spans="1:5" x14ac:dyDescent="0.25">
      <c r="A1" s="160" t="s">
        <v>258</v>
      </c>
      <c r="B1" s="147"/>
      <c r="C1" s="147"/>
      <c r="D1" s="160" t="s">
        <v>259</v>
      </c>
      <c r="E1" s="147"/>
    </row>
    <row r="2" spans="1:5" x14ac:dyDescent="0.25">
      <c r="A2" s="147"/>
      <c r="B2" s="147"/>
      <c r="C2" s="147"/>
      <c r="D2" s="147"/>
      <c r="E2" s="147"/>
    </row>
    <row r="3" spans="1:5" x14ac:dyDescent="0.25">
      <c r="A3" s="148" t="s">
        <v>260</v>
      </c>
      <c r="B3" s="148" t="s">
        <v>261</v>
      </c>
      <c r="D3" s="148" t="s">
        <v>260</v>
      </c>
      <c r="E3" s="148" t="s">
        <v>261</v>
      </c>
    </row>
    <row r="4" spans="1:5" x14ac:dyDescent="0.25">
      <c r="A4" s="158" t="s">
        <v>6</v>
      </c>
      <c r="B4" s="151" t="s">
        <v>262</v>
      </c>
      <c r="C4" s="150"/>
      <c r="D4" s="158" t="s">
        <v>17</v>
      </c>
      <c r="E4" s="158" t="s">
        <v>16</v>
      </c>
    </row>
    <row r="5" spans="1:5" x14ac:dyDescent="0.25">
      <c r="A5" s="158" t="s">
        <v>47</v>
      </c>
      <c r="B5" s="151" t="s">
        <v>263</v>
      </c>
      <c r="C5" s="150"/>
      <c r="D5" s="158" t="s">
        <v>156</v>
      </c>
      <c r="E5" s="158" t="s">
        <v>264</v>
      </c>
    </row>
    <row r="6" spans="1:5" x14ac:dyDescent="0.25">
      <c r="A6" s="158" t="s">
        <v>1</v>
      </c>
      <c r="B6" s="151" t="s">
        <v>16</v>
      </c>
      <c r="C6" s="150"/>
      <c r="D6" s="158" t="s">
        <v>265</v>
      </c>
      <c r="E6" s="158" t="s">
        <v>64</v>
      </c>
    </row>
    <row r="7" spans="1:5" x14ac:dyDescent="0.25">
      <c r="A7" s="158" t="s">
        <v>57</v>
      </c>
      <c r="B7" s="151" t="s">
        <v>58</v>
      </c>
      <c r="C7" s="150"/>
      <c r="D7" s="158" t="s">
        <v>73</v>
      </c>
      <c r="E7" s="158" t="s">
        <v>36</v>
      </c>
    </row>
    <row r="8" spans="1:5" x14ac:dyDescent="0.25">
      <c r="A8" s="158" t="s">
        <v>266</v>
      </c>
      <c r="B8" s="151" t="s">
        <v>13</v>
      </c>
      <c r="C8" s="150"/>
      <c r="D8" s="157" t="s">
        <v>0</v>
      </c>
      <c r="E8" s="151" t="s">
        <v>262</v>
      </c>
    </row>
    <row r="9" spans="1:5" x14ac:dyDescent="0.25">
      <c r="A9" s="158" t="s">
        <v>1</v>
      </c>
      <c r="B9" s="151" t="s">
        <v>264</v>
      </c>
      <c r="C9" s="150"/>
      <c r="D9" s="157" t="s">
        <v>267</v>
      </c>
      <c r="E9" s="157" t="s">
        <v>268</v>
      </c>
    </row>
    <row r="10" spans="1:5" x14ac:dyDescent="0.25">
      <c r="A10" s="158" t="s">
        <v>1</v>
      </c>
      <c r="B10" s="151" t="s">
        <v>64</v>
      </c>
      <c r="C10" s="150"/>
      <c r="D10" s="157" t="s">
        <v>269</v>
      </c>
      <c r="E10" s="157" t="s">
        <v>107</v>
      </c>
    </row>
    <row r="11" spans="1:5" x14ac:dyDescent="0.25">
      <c r="A11" s="158" t="s">
        <v>73</v>
      </c>
      <c r="B11" s="151" t="s">
        <v>36</v>
      </c>
      <c r="D11" s="157" t="s">
        <v>267</v>
      </c>
      <c r="E11" s="157" t="s">
        <v>110</v>
      </c>
    </row>
    <row r="12" spans="1:5" x14ac:dyDescent="0.25">
      <c r="A12" s="155" t="s">
        <v>270</v>
      </c>
      <c r="B12" s="159" t="s">
        <v>107</v>
      </c>
      <c r="D12" s="157" t="s">
        <v>54</v>
      </c>
      <c r="E12" s="156" t="s">
        <v>271</v>
      </c>
    </row>
    <row r="13" spans="1:5" x14ac:dyDescent="0.25">
      <c r="A13" s="156" t="s">
        <v>52</v>
      </c>
      <c r="B13" s="159" t="s">
        <v>268</v>
      </c>
      <c r="D13" s="157" t="s">
        <v>269</v>
      </c>
      <c r="E13" s="156" t="s">
        <v>272</v>
      </c>
    </row>
    <row r="14" spans="1:5" x14ac:dyDescent="0.25">
      <c r="A14" s="156" t="s">
        <v>52</v>
      </c>
      <c r="B14" s="159" t="s">
        <v>110</v>
      </c>
      <c r="D14" s="158" t="s">
        <v>73</v>
      </c>
      <c r="E14" s="156" t="s">
        <v>273</v>
      </c>
    </row>
    <row r="15" spans="1:5" x14ac:dyDescent="0.25">
      <c r="A15" s="155" t="s">
        <v>270</v>
      </c>
      <c r="B15" s="159" t="s">
        <v>272</v>
      </c>
      <c r="D15" s="157" t="s">
        <v>274</v>
      </c>
      <c r="E15" s="156" t="s">
        <v>22</v>
      </c>
    </row>
    <row r="16" spans="1:5" x14ac:dyDescent="0.25">
      <c r="A16" s="155" t="s">
        <v>6</v>
      </c>
      <c r="B16" s="159" t="s">
        <v>275</v>
      </c>
      <c r="D16" s="157" t="s">
        <v>269</v>
      </c>
      <c r="E16" s="159" t="s">
        <v>205</v>
      </c>
    </row>
    <row r="17" spans="1:5" x14ac:dyDescent="0.25">
      <c r="A17" s="158" t="s">
        <v>6</v>
      </c>
      <c r="B17" s="159" t="s">
        <v>8</v>
      </c>
      <c r="D17" s="157" t="s">
        <v>109</v>
      </c>
      <c r="E17" s="159" t="s">
        <v>35</v>
      </c>
    </row>
    <row r="18" spans="1:5" x14ac:dyDescent="0.25">
      <c r="A18" s="158" t="s">
        <v>73</v>
      </c>
      <c r="B18" s="159" t="s">
        <v>276</v>
      </c>
      <c r="D18" s="158" t="s">
        <v>109</v>
      </c>
      <c r="E18" s="159" t="s">
        <v>208</v>
      </c>
    </row>
    <row r="19" spans="1:5" x14ac:dyDescent="0.25">
      <c r="A19" s="157" t="s">
        <v>274</v>
      </c>
      <c r="B19" s="159" t="s">
        <v>22</v>
      </c>
      <c r="D19" s="157" t="s">
        <v>274</v>
      </c>
      <c r="E19" s="157" t="s">
        <v>22</v>
      </c>
    </row>
    <row r="20" spans="1:5" x14ac:dyDescent="0.25">
      <c r="A20" s="158" t="s">
        <v>61</v>
      </c>
      <c r="B20" s="159" t="s">
        <v>106</v>
      </c>
      <c r="D20" s="157" t="s">
        <v>269</v>
      </c>
      <c r="E20" s="159" t="s">
        <v>272</v>
      </c>
    </row>
    <row r="21" spans="1:5" x14ac:dyDescent="0.25">
      <c r="A21" s="158" t="s">
        <v>59</v>
      </c>
      <c r="B21" s="159" t="s">
        <v>186</v>
      </c>
      <c r="D21" s="157" t="s">
        <v>267</v>
      </c>
      <c r="E21" s="159" t="s">
        <v>209</v>
      </c>
    </row>
    <row r="22" spans="1:5" x14ac:dyDescent="0.25">
      <c r="A22" s="158" t="s">
        <v>59</v>
      </c>
      <c r="B22" s="159" t="s">
        <v>172</v>
      </c>
      <c r="D22" s="157" t="s">
        <v>277</v>
      </c>
      <c r="E22" s="159" t="s">
        <v>212</v>
      </c>
    </row>
    <row r="23" spans="1:5" x14ac:dyDescent="0.25">
      <c r="A23" s="155" t="s">
        <v>270</v>
      </c>
      <c r="B23" s="159" t="s">
        <v>205</v>
      </c>
      <c r="D23" s="157" t="s">
        <v>274</v>
      </c>
      <c r="E23" s="156" t="s">
        <v>203</v>
      </c>
    </row>
    <row r="24" spans="1:5" x14ac:dyDescent="0.25">
      <c r="A24" s="155" t="s">
        <v>270</v>
      </c>
      <c r="B24" s="159" t="s">
        <v>205</v>
      </c>
      <c r="D24" s="158" t="s">
        <v>109</v>
      </c>
      <c r="E24" s="156" t="s">
        <v>208</v>
      </c>
    </row>
    <row r="25" spans="1:5" x14ac:dyDescent="0.25">
      <c r="A25" s="158" t="s">
        <v>59</v>
      </c>
      <c r="B25" s="159" t="s">
        <v>278</v>
      </c>
      <c r="D25" s="157" t="s">
        <v>0</v>
      </c>
      <c r="E25" s="156" t="s">
        <v>30</v>
      </c>
    </row>
    <row r="26" spans="1:5" x14ac:dyDescent="0.25">
      <c r="A26" s="158" t="s">
        <v>109</v>
      </c>
      <c r="B26" s="159" t="s">
        <v>35</v>
      </c>
      <c r="D26" s="158" t="s">
        <v>109</v>
      </c>
      <c r="E26" s="156" t="s">
        <v>279</v>
      </c>
    </row>
    <row r="27" spans="1:5" x14ac:dyDescent="0.25">
      <c r="A27" s="155" t="s">
        <v>2</v>
      </c>
      <c r="B27" s="159" t="s">
        <v>156</v>
      </c>
      <c r="D27" s="158" t="s">
        <v>1</v>
      </c>
      <c r="E27" s="156" t="s">
        <v>108</v>
      </c>
    </row>
    <row r="28" spans="1:5" x14ac:dyDescent="0.25">
      <c r="A28" s="156" t="s">
        <v>52</v>
      </c>
      <c r="B28" s="159" t="s">
        <v>209</v>
      </c>
      <c r="D28" s="158" t="s">
        <v>280</v>
      </c>
      <c r="E28" s="156" t="s">
        <v>25</v>
      </c>
    </row>
    <row r="29" spans="1:5" x14ac:dyDescent="0.25">
      <c r="A29" s="158" t="s">
        <v>109</v>
      </c>
      <c r="B29" s="159" t="s">
        <v>208</v>
      </c>
      <c r="D29" s="158" t="s">
        <v>109</v>
      </c>
      <c r="E29" s="156" t="s">
        <v>35</v>
      </c>
    </row>
    <row r="30" spans="1:5" x14ac:dyDescent="0.25">
      <c r="A30" s="158" t="s">
        <v>1</v>
      </c>
      <c r="B30" s="156" t="s">
        <v>39</v>
      </c>
      <c r="D30" s="158" t="s">
        <v>277</v>
      </c>
      <c r="E30" s="159" t="s">
        <v>271</v>
      </c>
    </row>
    <row r="31" spans="1:5" x14ac:dyDescent="0.25">
      <c r="A31" s="158" t="s">
        <v>61</v>
      </c>
      <c r="B31" s="156" t="s">
        <v>106</v>
      </c>
      <c r="D31" s="158" t="s">
        <v>73</v>
      </c>
      <c r="E31" s="159" t="s">
        <v>273</v>
      </c>
    </row>
    <row r="32" spans="1:5" x14ac:dyDescent="0.25">
      <c r="A32" s="158" t="s">
        <v>59</v>
      </c>
      <c r="B32" s="156" t="s">
        <v>180</v>
      </c>
      <c r="D32" s="157" t="s">
        <v>267</v>
      </c>
      <c r="E32" s="156" t="s">
        <v>281</v>
      </c>
    </row>
    <row r="33" spans="1:5" x14ac:dyDescent="0.25">
      <c r="A33" s="158" t="s">
        <v>1</v>
      </c>
      <c r="B33" s="159" t="s">
        <v>212</v>
      </c>
      <c r="D33" s="157" t="s">
        <v>269</v>
      </c>
      <c r="E33" s="156" t="s">
        <v>204</v>
      </c>
    </row>
    <row r="34" spans="1:5" x14ac:dyDescent="0.25">
      <c r="A34" s="157" t="s">
        <v>274</v>
      </c>
      <c r="B34" s="156" t="s">
        <v>203</v>
      </c>
      <c r="D34" s="157" t="s">
        <v>282</v>
      </c>
      <c r="E34" s="156" t="s">
        <v>283</v>
      </c>
    </row>
    <row r="35" spans="1:5" x14ac:dyDescent="0.25">
      <c r="A35" s="158" t="s">
        <v>6</v>
      </c>
      <c r="B35" s="156" t="s">
        <v>30</v>
      </c>
      <c r="D35" s="157" t="s">
        <v>277</v>
      </c>
      <c r="E35" s="156" t="s">
        <v>21</v>
      </c>
    </row>
    <row r="36" spans="1:5" x14ac:dyDescent="0.25">
      <c r="A36" s="158" t="s">
        <v>109</v>
      </c>
      <c r="B36" s="156" t="s">
        <v>279</v>
      </c>
      <c r="D36" s="157" t="s">
        <v>100</v>
      </c>
      <c r="E36" s="156" t="s">
        <v>27</v>
      </c>
    </row>
    <row r="37" spans="1:5" x14ac:dyDescent="0.25">
      <c r="A37" s="158" t="s">
        <v>62</v>
      </c>
      <c r="B37" s="156" t="s">
        <v>98</v>
      </c>
      <c r="D37" s="157" t="s">
        <v>280</v>
      </c>
      <c r="E37" s="156" t="s">
        <v>26</v>
      </c>
    </row>
    <row r="38" spans="1:5" x14ac:dyDescent="0.25">
      <c r="A38" s="158" t="s">
        <v>1</v>
      </c>
      <c r="B38" s="156" t="s">
        <v>108</v>
      </c>
      <c r="D38" s="157" t="s">
        <v>100</v>
      </c>
      <c r="E38" s="156" t="s">
        <v>207</v>
      </c>
    </row>
    <row r="39" spans="1:5" x14ac:dyDescent="0.25">
      <c r="A39" s="158" t="s">
        <v>2</v>
      </c>
      <c r="B39" s="156" t="s">
        <v>15</v>
      </c>
      <c r="D39" s="157" t="s">
        <v>100</v>
      </c>
      <c r="E39" s="156" t="s">
        <v>284</v>
      </c>
    </row>
    <row r="40" spans="1:5" x14ac:dyDescent="0.25">
      <c r="A40" s="155" t="s">
        <v>2</v>
      </c>
      <c r="B40" s="156" t="s">
        <v>67</v>
      </c>
      <c r="D40" s="157" t="s">
        <v>269</v>
      </c>
      <c r="E40" s="156" t="s">
        <v>285</v>
      </c>
    </row>
    <row r="41" spans="1:5" x14ac:dyDescent="0.25">
      <c r="A41" s="158" t="s">
        <v>57</v>
      </c>
      <c r="B41" s="156" t="s">
        <v>25</v>
      </c>
      <c r="D41" s="157" t="s">
        <v>40</v>
      </c>
      <c r="E41" s="156" t="s">
        <v>286</v>
      </c>
    </row>
    <row r="42" spans="1:5" x14ac:dyDescent="0.25">
      <c r="A42" s="158" t="s">
        <v>57</v>
      </c>
      <c r="B42" s="156" t="s">
        <v>58</v>
      </c>
      <c r="D42" s="157" t="s">
        <v>54</v>
      </c>
      <c r="E42" s="159" t="s">
        <v>271</v>
      </c>
    </row>
    <row r="43" spans="1:5" x14ac:dyDescent="0.25">
      <c r="A43" s="158" t="s">
        <v>1</v>
      </c>
      <c r="B43" s="156" t="s">
        <v>211</v>
      </c>
      <c r="D43" s="157" t="s">
        <v>73</v>
      </c>
      <c r="E43" s="159" t="s">
        <v>273</v>
      </c>
    </row>
    <row r="44" spans="1:5" x14ac:dyDescent="0.25">
      <c r="A44" s="158" t="s">
        <v>6</v>
      </c>
      <c r="B44" s="156" t="s">
        <v>17</v>
      </c>
      <c r="D44" s="157" t="s">
        <v>1</v>
      </c>
      <c r="E44" s="156" t="s">
        <v>176</v>
      </c>
    </row>
    <row r="45" spans="1:5" x14ac:dyDescent="0.25">
      <c r="A45" s="155" t="s">
        <v>270</v>
      </c>
      <c r="B45" s="156" t="s">
        <v>204</v>
      </c>
      <c r="D45" s="157" t="s">
        <v>109</v>
      </c>
      <c r="E45" s="156" t="s">
        <v>287</v>
      </c>
    </row>
    <row r="46" spans="1:5" x14ac:dyDescent="0.25">
      <c r="A46" s="156" t="s">
        <v>52</v>
      </c>
      <c r="B46" s="156" t="s">
        <v>281</v>
      </c>
      <c r="D46" s="157" t="s">
        <v>104</v>
      </c>
      <c r="E46" s="156" t="s">
        <v>173</v>
      </c>
    </row>
    <row r="47" spans="1:5" x14ac:dyDescent="0.25">
      <c r="A47" s="158" t="s">
        <v>1</v>
      </c>
      <c r="B47" s="156" t="s">
        <v>211</v>
      </c>
    </row>
    <row r="48" spans="1:5" x14ac:dyDescent="0.25">
      <c r="A48" s="158" t="s">
        <v>1</v>
      </c>
      <c r="B48" s="156" t="s">
        <v>17</v>
      </c>
    </row>
    <row r="49" spans="1:2" x14ac:dyDescent="0.25">
      <c r="A49" s="158" t="s">
        <v>1</v>
      </c>
      <c r="B49" s="156" t="s">
        <v>54</v>
      </c>
    </row>
    <row r="50" spans="1:2" x14ac:dyDescent="0.25">
      <c r="A50" s="158" t="s">
        <v>2</v>
      </c>
      <c r="B50" s="156" t="s">
        <v>72</v>
      </c>
    </row>
    <row r="51" spans="1:2" x14ac:dyDescent="0.25">
      <c r="A51" s="158" t="s">
        <v>23</v>
      </c>
      <c r="B51" s="156" t="s">
        <v>274</v>
      </c>
    </row>
    <row r="52" spans="1:2" x14ac:dyDescent="0.25">
      <c r="A52" s="158" t="s">
        <v>23</v>
      </c>
      <c r="B52" s="156" t="s">
        <v>173</v>
      </c>
    </row>
    <row r="53" spans="1:2" x14ac:dyDescent="0.25">
      <c r="A53" s="158" t="s">
        <v>2</v>
      </c>
      <c r="B53" s="156" t="s">
        <v>283</v>
      </c>
    </row>
    <row r="54" spans="1:2" x14ac:dyDescent="0.25">
      <c r="A54" s="156" t="s">
        <v>52</v>
      </c>
      <c r="B54" s="156" t="s">
        <v>4</v>
      </c>
    </row>
    <row r="55" spans="1:2" x14ac:dyDescent="0.25">
      <c r="A55" s="156" t="s">
        <v>6</v>
      </c>
      <c r="B55" s="156" t="s">
        <v>21</v>
      </c>
    </row>
    <row r="56" spans="1:2" x14ac:dyDescent="0.25">
      <c r="A56" s="156" t="s">
        <v>100</v>
      </c>
      <c r="B56" s="156" t="s">
        <v>27</v>
      </c>
    </row>
    <row r="57" spans="1:2" x14ac:dyDescent="0.25">
      <c r="A57" s="156" t="s">
        <v>57</v>
      </c>
      <c r="B57" s="156" t="s">
        <v>26</v>
      </c>
    </row>
    <row r="58" spans="1:2" x14ac:dyDescent="0.25">
      <c r="A58" s="156" t="s">
        <v>100</v>
      </c>
      <c r="B58" s="156" t="s">
        <v>207</v>
      </c>
    </row>
    <row r="59" spans="1:2" x14ac:dyDescent="0.25">
      <c r="A59" s="156" t="s">
        <v>100</v>
      </c>
      <c r="B59" s="156" t="s">
        <v>284</v>
      </c>
    </row>
    <row r="60" spans="1:2" x14ac:dyDescent="0.25">
      <c r="A60" s="156" t="s">
        <v>270</v>
      </c>
      <c r="B60" s="156" t="s">
        <v>285</v>
      </c>
    </row>
    <row r="61" spans="1:2" x14ac:dyDescent="0.25">
      <c r="A61" s="156" t="s">
        <v>100</v>
      </c>
      <c r="B61" s="156" t="s">
        <v>286</v>
      </c>
    </row>
    <row r="62" spans="1:2" x14ac:dyDescent="0.25">
      <c r="A62" s="157" t="s">
        <v>1</v>
      </c>
      <c r="B62" s="156" t="s">
        <v>176</v>
      </c>
    </row>
    <row r="63" spans="1:2" x14ac:dyDescent="0.25">
      <c r="A63" s="157" t="s">
        <v>109</v>
      </c>
      <c r="B63" s="156" t="s">
        <v>287</v>
      </c>
    </row>
    <row r="64" spans="1:2" x14ac:dyDescent="0.25">
      <c r="A64" s="157" t="s">
        <v>104</v>
      </c>
      <c r="B64" s="156" t="s">
        <v>173</v>
      </c>
    </row>
    <row r="66" spans="1:6" ht="15" customHeight="1" x14ac:dyDescent="0.25">
      <c r="A66" s="525" t="s">
        <v>288</v>
      </c>
      <c r="B66" s="525"/>
      <c r="C66" s="525"/>
      <c r="D66" s="525"/>
      <c r="E66" s="525"/>
      <c r="F66" s="525"/>
    </row>
    <row r="67" spans="1:6" x14ac:dyDescent="0.25">
      <c r="A67" s="525"/>
      <c r="B67" s="525"/>
      <c r="C67" s="525"/>
      <c r="D67" s="525"/>
      <c r="E67" s="525"/>
      <c r="F67" s="525"/>
    </row>
    <row r="69" spans="1:6" x14ac:dyDescent="0.25">
      <c r="A69" s="526" t="s">
        <v>289</v>
      </c>
      <c r="B69" s="526"/>
      <c r="C69" s="526"/>
      <c r="D69" s="526"/>
      <c r="E69" s="526"/>
      <c r="F69" s="526"/>
    </row>
    <row r="70" spans="1:6" x14ac:dyDescent="0.25">
      <c r="A70" s="152"/>
      <c r="B70" s="152"/>
    </row>
    <row r="71" spans="1:6" x14ac:dyDescent="0.25">
      <c r="A71" s="152"/>
      <c r="B71" s="152"/>
    </row>
    <row r="90" spans="1:1" x14ac:dyDescent="0.25">
      <c r="A90" s="153"/>
    </row>
    <row r="102" spans="1:1" x14ac:dyDescent="0.25">
      <c r="A102" s="153"/>
    </row>
    <row r="107" spans="1:1" x14ac:dyDescent="0.25">
      <c r="A107" s="153"/>
    </row>
    <row r="138" spans="1:4" x14ac:dyDescent="0.25">
      <c r="A138" s="154"/>
      <c r="B138" s="154"/>
      <c r="C138" s="154"/>
      <c r="D138" s="154"/>
    </row>
    <row r="139" spans="1:4" x14ac:dyDescent="0.25">
      <c r="A139" s="154"/>
      <c r="B139" s="154"/>
      <c r="C139" s="154"/>
      <c r="D139" s="154"/>
    </row>
    <row r="140" spans="1:4" x14ac:dyDescent="0.25">
      <c r="A140" s="154"/>
      <c r="B140" s="154"/>
      <c r="C140" s="154"/>
      <c r="D140" s="154"/>
    </row>
    <row r="141" spans="1:4" x14ac:dyDescent="0.25">
      <c r="A141" s="154"/>
      <c r="B141" s="154"/>
      <c r="C141" s="154"/>
      <c r="D141" s="154"/>
    </row>
    <row r="142" spans="1:4" x14ac:dyDescent="0.25">
      <c r="A142" s="154"/>
      <c r="B142" s="154"/>
      <c r="C142" s="154"/>
      <c r="D142" s="154"/>
    </row>
    <row r="143" spans="1:4" x14ac:dyDescent="0.25">
      <c r="A143" s="154"/>
      <c r="B143" s="154"/>
      <c r="C143" s="154"/>
      <c r="D143" s="154"/>
    </row>
    <row r="144" spans="1:4" x14ac:dyDescent="0.25">
      <c r="A144" s="154"/>
      <c r="B144" s="154"/>
      <c r="C144" s="154"/>
      <c r="D144" s="154"/>
    </row>
    <row r="145" spans="1:4" x14ac:dyDescent="0.25">
      <c r="A145" s="154"/>
      <c r="B145" s="154"/>
      <c r="C145" s="154"/>
      <c r="D145" s="154"/>
    </row>
    <row r="146" spans="1:4" x14ac:dyDescent="0.25">
      <c r="A146" s="154"/>
      <c r="B146" s="154"/>
      <c r="C146" s="154"/>
      <c r="D146" s="154"/>
    </row>
    <row r="147" spans="1:4" x14ac:dyDescent="0.25">
      <c r="A147" s="154"/>
      <c r="B147" s="154"/>
      <c r="C147" s="154"/>
      <c r="D147" s="154"/>
    </row>
    <row r="148" spans="1:4" x14ac:dyDescent="0.25">
      <c r="A148" s="154"/>
      <c r="B148" s="154"/>
      <c r="C148" s="154"/>
      <c r="D148" s="154"/>
    </row>
    <row r="149" spans="1:4" x14ac:dyDescent="0.25">
      <c r="A149" s="154"/>
      <c r="B149" s="154"/>
      <c r="C149" s="154"/>
      <c r="D149" s="154"/>
    </row>
    <row r="150" spans="1:4" x14ac:dyDescent="0.25">
      <c r="A150" s="154"/>
      <c r="B150" s="154"/>
      <c r="C150" s="154"/>
      <c r="D150" s="154"/>
    </row>
    <row r="151" spans="1:4" x14ac:dyDescent="0.25">
      <c r="A151" s="154"/>
      <c r="B151" s="154"/>
      <c r="C151" s="154"/>
      <c r="D151" s="154"/>
    </row>
    <row r="152" spans="1:4" x14ac:dyDescent="0.25">
      <c r="A152" s="154"/>
      <c r="B152" s="154"/>
      <c r="C152" s="154"/>
      <c r="D152" s="154"/>
    </row>
    <row r="153" spans="1:4" x14ac:dyDescent="0.25">
      <c r="A153" s="154"/>
      <c r="B153" s="154"/>
      <c r="C153" s="154"/>
      <c r="D153" s="154"/>
    </row>
    <row r="154" spans="1:4" x14ac:dyDescent="0.25">
      <c r="A154" s="154"/>
      <c r="B154" s="154"/>
      <c r="C154" s="154"/>
      <c r="D154" s="154"/>
    </row>
    <row r="155" spans="1:4" x14ac:dyDescent="0.25">
      <c r="A155" s="154"/>
      <c r="B155" s="154"/>
      <c r="C155" s="154"/>
      <c r="D155" s="154"/>
    </row>
    <row r="156" spans="1:4" x14ac:dyDescent="0.25">
      <c r="A156" s="154"/>
      <c r="B156" s="154"/>
      <c r="C156" s="154"/>
      <c r="D156" s="154"/>
    </row>
    <row r="157" spans="1:4" x14ac:dyDescent="0.25">
      <c r="A157" s="154"/>
      <c r="B157" s="154"/>
      <c r="C157" s="154"/>
      <c r="D157" s="154"/>
    </row>
    <row r="158" spans="1:4" x14ac:dyDescent="0.25">
      <c r="A158" s="154"/>
      <c r="B158" s="154"/>
      <c r="C158" s="154"/>
      <c r="D158" s="154"/>
    </row>
    <row r="159" spans="1:4" x14ac:dyDescent="0.25">
      <c r="A159" s="154"/>
      <c r="B159" s="154"/>
      <c r="C159" s="154"/>
      <c r="D159" s="154"/>
    </row>
    <row r="160" spans="1:4" x14ac:dyDescent="0.25">
      <c r="A160" s="154"/>
      <c r="B160" s="154"/>
      <c r="C160" s="154"/>
      <c r="D160" s="154"/>
    </row>
    <row r="161" spans="1:4" x14ac:dyDescent="0.25">
      <c r="A161" s="154"/>
      <c r="B161" s="154"/>
      <c r="C161" s="154"/>
      <c r="D161" s="154"/>
    </row>
    <row r="162" spans="1:4" x14ac:dyDescent="0.25">
      <c r="A162" s="154"/>
      <c r="B162" s="154"/>
      <c r="C162" s="154"/>
      <c r="D162" s="154"/>
    </row>
    <row r="163" spans="1:4" x14ac:dyDescent="0.25">
      <c r="A163" s="154"/>
      <c r="B163" s="154"/>
      <c r="C163" s="154"/>
      <c r="D163" s="154"/>
    </row>
    <row r="164" spans="1:4" x14ac:dyDescent="0.25">
      <c r="A164" s="154"/>
      <c r="B164" s="154"/>
      <c r="C164" s="154"/>
      <c r="D164" s="154"/>
    </row>
    <row r="165" spans="1:4" x14ac:dyDescent="0.25">
      <c r="A165" s="154"/>
      <c r="B165" s="154"/>
      <c r="C165" s="154"/>
      <c r="D165" s="154"/>
    </row>
    <row r="166" spans="1:4" x14ac:dyDescent="0.25">
      <c r="A166" s="154"/>
      <c r="B166" s="154"/>
      <c r="C166" s="154"/>
      <c r="D166" s="154"/>
    </row>
    <row r="167" spans="1:4" x14ac:dyDescent="0.25">
      <c r="A167" s="154"/>
      <c r="B167" s="154"/>
      <c r="C167" s="154"/>
      <c r="D167" s="154"/>
    </row>
    <row r="168" spans="1:4" x14ac:dyDescent="0.25">
      <c r="A168" s="154"/>
      <c r="B168" s="154"/>
      <c r="C168" s="154"/>
      <c r="D168" s="154"/>
    </row>
    <row r="169" spans="1:4" x14ac:dyDescent="0.25">
      <c r="A169" s="154"/>
      <c r="B169" s="154"/>
      <c r="C169" s="154"/>
      <c r="D169" s="154"/>
    </row>
    <row r="170" spans="1:4" x14ac:dyDescent="0.25">
      <c r="A170" s="154"/>
      <c r="B170" s="154"/>
      <c r="C170" s="154"/>
      <c r="D170" s="154"/>
    </row>
    <row r="171" spans="1:4" x14ac:dyDescent="0.25">
      <c r="A171" s="154"/>
      <c r="B171" s="154"/>
      <c r="C171" s="154"/>
      <c r="D171" s="154"/>
    </row>
    <row r="172" spans="1:4" x14ac:dyDescent="0.25">
      <c r="A172" s="154"/>
      <c r="B172" s="154"/>
      <c r="C172" s="154"/>
      <c r="D172" s="154"/>
    </row>
    <row r="173" spans="1:4" x14ac:dyDescent="0.25">
      <c r="A173" s="154"/>
      <c r="B173" s="154"/>
      <c r="C173" s="154"/>
      <c r="D173" s="154"/>
    </row>
    <row r="174" spans="1:4" x14ac:dyDescent="0.25">
      <c r="A174" s="154"/>
      <c r="B174" s="154"/>
      <c r="C174" s="154"/>
      <c r="D174" s="154"/>
    </row>
    <row r="175" spans="1:4" x14ac:dyDescent="0.25">
      <c r="A175" s="154"/>
      <c r="B175" s="154"/>
      <c r="C175" s="154"/>
      <c r="D175" s="154"/>
    </row>
    <row r="176" spans="1:4" x14ac:dyDescent="0.25">
      <c r="A176" s="154"/>
      <c r="B176" s="154"/>
      <c r="C176" s="154"/>
      <c r="D176" s="154"/>
    </row>
    <row r="177" spans="1:4" x14ac:dyDescent="0.25">
      <c r="A177" s="154"/>
      <c r="B177" s="154"/>
      <c r="C177" s="154"/>
      <c r="D177" s="154"/>
    </row>
    <row r="178" spans="1:4" x14ac:dyDescent="0.25">
      <c r="A178" s="154"/>
      <c r="B178" s="154"/>
      <c r="C178" s="154"/>
      <c r="D178" s="154"/>
    </row>
    <row r="179" spans="1:4" x14ac:dyDescent="0.25">
      <c r="A179" s="154"/>
      <c r="B179" s="154"/>
      <c r="C179" s="154"/>
      <c r="D179" s="154"/>
    </row>
    <row r="180" spans="1:4" x14ac:dyDescent="0.25">
      <c r="A180" s="154"/>
      <c r="B180" s="154"/>
      <c r="C180" s="154"/>
      <c r="D180" s="154"/>
    </row>
    <row r="181" spans="1:4" x14ac:dyDescent="0.25">
      <c r="A181" s="154"/>
      <c r="B181" s="154"/>
      <c r="C181" s="154"/>
      <c r="D181" s="154"/>
    </row>
    <row r="182" spans="1:4" x14ac:dyDescent="0.25">
      <c r="A182" s="154"/>
      <c r="B182" s="154"/>
      <c r="C182" s="154"/>
      <c r="D182" s="154"/>
    </row>
    <row r="183" spans="1:4" x14ac:dyDescent="0.25">
      <c r="A183" s="154"/>
      <c r="B183" s="154"/>
      <c r="C183" s="154"/>
      <c r="D183" s="154"/>
    </row>
    <row r="184" spans="1:4" x14ac:dyDescent="0.25">
      <c r="A184" s="154"/>
      <c r="B184" s="154"/>
      <c r="C184" s="154"/>
      <c r="D184" s="154"/>
    </row>
    <row r="185" spans="1:4" x14ac:dyDescent="0.25">
      <c r="A185" s="154"/>
      <c r="B185" s="154"/>
      <c r="C185" s="154"/>
      <c r="D185" s="154"/>
    </row>
    <row r="186" spans="1:4" x14ac:dyDescent="0.25">
      <c r="A186" s="154"/>
      <c r="B186" s="154"/>
      <c r="C186" s="154"/>
      <c r="D186" s="154"/>
    </row>
    <row r="187" spans="1:4" x14ac:dyDescent="0.25">
      <c r="A187" s="154"/>
      <c r="B187" s="154"/>
      <c r="C187" s="154"/>
      <c r="D187" s="154"/>
    </row>
    <row r="188" spans="1:4" x14ac:dyDescent="0.25">
      <c r="A188" s="154"/>
      <c r="B188" s="154"/>
      <c r="C188" s="154"/>
      <c r="D188" s="154"/>
    </row>
    <row r="189" spans="1:4" x14ac:dyDescent="0.25">
      <c r="A189" s="154"/>
      <c r="B189" s="154"/>
      <c r="C189" s="154"/>
      <c r="D189" s="154"/>
    </row>
    <row r="190" spans="1:4" x14ac:dyDescent="0.25">
      <c r="A190" s="154"/>
      <c r="B190" s="154"/>
      <c r="C190" s="154"/>
      <c r="D190" s="154"/>
    </row>
    <row r="191" spans="1:4" x14ac:dyDescent="0.25">
      <c r="A191" s="154"/>
      <c r="B191" s="154"/>
      <c r="C191" s="154"/>
      <c r="D191" s="154"/>
    </row>
    <row r="192" spans="1:4" x14ac:dyDescent="0.25">
      <c r="A192" s="154"/>
      <c r="B192" s="154"/>
      <c r="C192" s="154"/>
      <c r="D192" s="154"/>
    </row>
    <row r="193" spans="1:4" x14ac:dyDescent="0.25">
      <c r="A193" s="154"/>
      <c r="B193" s="154"/>
      <c r="C193" s="154"/>
      <c r="D193" s="154"/>
    </row>
    <row r="194" spans="1:4" x14ac:dyDescent="0.25">
      <c r="A194" s="154"/>
      <c r="B194" s="154"/>
      <c r="C194" s="154"/>
      <c r="D194" s="154"/>
    </row>
    <row r="195" spans="1:4" x14ac:dyDescent="0.25">
      <c r="A195" s="154"/>
      <c r="B195" s="154"/>
      <c r="C195" s="154"/>
      <c r="D195" s="154"/>
    </row>
    <row r="196" spans="1:4" x14ac:dyDescent="0.25">
      <c r="A196" s="154"/>
      <c r="B196" s="154"/>
      <c r="C196" s="154"/>
      <c r="D196" s="154"/>
    </row>
    <row r="197" spans="1:4" x14ac:dyDescent="0.25">
      <c r="A197" s="154"/>
      <c r="B197" s="154"/>
      <c r="C197" s="154"/>
      <c r="D197" s="154"/>
    </row>
    <row r="198" spans="1:4" x14ac:dyDescent="0.25">
      <c r="A198" s="154"/>
      <c r="B198" s="154"/>
      <c r="C198" s="154"/>
      <c r="D198" s="154"/>
    </row>
    <row r="199" spans="1:4" x14ac:dyDescent="0.25">
      <c r="A199" s="154"/>
      <c r="B199" s="154"/>
      <c r="C199" s="154"/>
      <c r="D199" s="154"/>
    </row>
    <row r="200" spans="1:4" x14ac:dyDescent="0.25">
      <c r="A200" s="154"/>
      <c r="B200" s="154"/>
      <c r="C200" s="154"/>
      <c r="D200" s="154"/>
    </row>
    <row r="201" spans="1:4" x14ac:dyDescent="0.25">
      <c r="A201" s="154"/>
      <c r="B201" s="154"/>
      <c r="C201" s="154"/>
      <c r="D201" s="154"/>
    </row>
    <row r="202" spans="1:4" x14ac:dyDescent="0.25">
      <c r="A202" s="154"/>
      <c r="B202" s="154"/>
      <c r="C202" s="154"/>
      <c r="D202" s="154"/>
    </row>
    <row r="203" spans="1:4" x14ac:dyDescent="0.25">
      <c r="A203" s="154"/>
      <c r="B203" s="154"/>
      <c r="C203" s="154"/>
      <c r="D203" s="154"/>
    </row>
    <row r="204" spans="1:4" x14ac:dyDescent="0.25">
      <c r="A204" s="154"/>
      <c r="B204" s="154"/>
      <c r="C204" s="154"/>
      <c r="D204" s="154"/>
    </row>
    <row r="205" spans="1:4" x14ac:dyDescent="0.25">
      <c r="A205" s="154"/>
      <c r="B205" s="154"/>
      <c r="C205" s="154"/>
      <c r="D205" s="154"/>
    </row>
    <row r="206" spans="1:4" x14ac:dyDescent="0.25">
      <c r="A206" s="154"/>
      <c r="B206" s="154"/>
      <c r="C206" s="154"/>
      <c r="D206" s="154"/>
    </row>
    <row r="207" spans="1:4" x14ac:dyDescent="0.25">
      <c r="A207" s="154"/>
      <c r="B207" s="154"/>
      <c r="C207" s="154"/>
      <c r="D207" s="154"/>
    </row>
    <row r="208" spans="1:4" x14ac:dyDescent="0.25">
      <c r="A208" s="154"/>
      <c r="B208" s="154"/>
      <c r="C208" s="154"/>
      <c r="D208" s="154"/>
    </row>
    <row r="209" spans="1:4" x14ac:dyDescent="0.25">
      <c r="A209" s="154"/>
      <c r="B209" s="154"/>
      <c r="C209" s="154"/>
      <c r="D209" s="154"/>
    </row>
    <row r="210" spans="1:4" x14ac:dyDescent="0.25">
      <c r="A210" s="154"/>
      <c r="B210" s="154"/>
      <c r="C210" s="154"/>
      <c r="D210" s="154"/>
    </row>
    <row r="211" spans="1:4" x14ac:dyDescent="0.25">
      <c r="A211" s="154"/>
      <c r="B211" s="154"/>
      <c r="C211" s="154"/>
      <c r="D211" s="154"/>
    </row>
    <row r="212" spans="1:4" x14ac:dyDescent="0.25">
      <c r="A212" s="154"/>
      <c r="B212" s="154"/>
      <c r="C212" s="154"/>
      <c r="D212" s="154"/>
    </row>
    <row r="213" spans="1:4" x14ac:dyDescent="0.25">
      <c r="A213" s="154"/>
      <c r="B213" s="154"/>
      <c r="C213" s="154"/>
      <c r="D213" s="154"/>
    </row>
    <row r="214" spans="1:4" x14ac:dyDescent="0.25">
      <c r="A214" s="154"/>
      <c r="B214" s="154"/>
      <c r="C214" s="154"/>
      <c r="D214" s="154"/>
    </row>
    <row r="215" spans="1:4" x14ac:dyDescent="0.25">
      <c r="A215" s="154"/>
      <c r="B215" s="154"/>
      <c r="C215" s="154"/>
      <c r="D215" s="154"/>
    </row>
    <row r="216" spans="1:4" x14ac:dyDescent="0.25">
      <c r="A216" s="154"/>
      <c r="B216" s="154"/>
      <c r="C216" s="154"/>
      <c r="D216" s="154"/>
    </row>
    <row r="217" spans="1:4" x14ac:dyDescent="0.25">
      <c r="A217" s="154"/>
      <c r="B217" s="154"/>
      <c r="C217" s="154"/>
      <c r="D217" s="154"/>
    </row>
    <row r="218" spans="1:4" x14ac:dyDescent="0.25">
      <c r="A218" s="154"/>
      <c r="B218" s="154"/>
      <c r="C218" s="154"/>
      <c r="D218" s="154"/>
    </row>
    <row r="219" spans="1:4" x14ac:dyDescent="0.25">
      <c r="A219" s="154"/>
      <c r="B219" s="154"/>
      <c r="C219" s="154"/>
      <c r="D219" s="154"/>
    </row>
    <row r="220" spans="1:4" x14ac:dyDescent="0.25">
      <c r="A220" s="154"/>
      <c r="B220" s="154"/>
      <c r="C220" s="154"/>
      <c r="D220" s="154"/>
    </row>
    <row r="221" spans="1:4" x14ac:dyDescent="0.25">
      <c r="A221" s="154"/>
      <c r="B221" s="154"/>
      <c r="C221" s="154"/>
      <c r="D221" s="154"/>
    </row>
    <row r="222" spans="1:4" x14ac:dyDescent="0.25">
      <c r="A222" s="154"/>
      <c r="B222" s="154"/>
      <c r="C222" s="154"/>
      <c r="D222" s="154"/>
    </row>
    <row r="223" spans="1:4" x14ac:dyDescent="0.25">
      <c r="A223" s="154"/>
      <c r="B223" s="154"/>
      <c r="C223" s="154"/>
      <c r="D223" s="154"/>
    </row>
    <row r="224" spans="1:4" x14ac:dyDescent="0.25">
      <c r="A224" s="154"/>
      <c r="B224" s="154"/>
      <c r="C224" s="154"/>
      <c r="D224" s="154"/>
    </row>
    <row r="225" spans="1:5" x14ac:dyDescent="0.25">
      <c r="A225" s="154"/>
      <c r="B225" s="154"/>
      <c r="C225" s="154"/>
      <c r="D225" s="154"/>
    </row>
    <row r="226" spans="1:5" x14ac:dyDescent="0.25">
      <c r="A226" s="154"/>
      <c r="B226" s="154"/>
      <c r="C226" s="154"/>
      <c r="D226" s="154"/>
    </row>
    <row r="227" spans="1:5" x14ac:dyDescent="0.25">
      <c r="A227" s="154"/>
      <c r="B227" s="154"/>
      <c r="C227" s="154"/>
      <c r="D227" s="154"/>
    </row>
    <row r="228" spans="1:5" x14ac:dyDescent="0.25">
      <c r="A228" s="154"/>
      <c r="B228" s="154"/>
      <c r="C228" s="154"/>
      <c r="D228" s="154"/>
    </row>
    <row r="229" spans="1:5" x14ac:dyDescent="0.25">
      <c r="A229" s="154"/>
      <c r="B229" s="154"/>
      <c r="C229" s="154"/>
      <c r="D229" s="154"/>
    </row>
    <row r="230" spans="1:5" x14ac:dyDescent="0.25">
      <c r="A230" s="154"/>
      <c r="B230" s="154"/>
      <c r="C230" s="154"/>
      <c r="D230" s="154"/>
      <c r="E230" s="154"/>
    </row>
    <row r="231" spans="1:5" x14ac:dyDescent="0.25">
      <c r="A231" s="154"/>
      <c r="B231" s="154"/>
      <c r="C231" s="154"/>
      <c r="D231" s="154"/>
      <c r="E231" s="154"/>
    </row>
    <row r="232" spans="1:5" x14ac:dyDescent="0.25">
      <c r="A232" s="154"/>
      <c r="B232" s="154"/>
      <c r="C232" s="154"/>
      <c r="D232" s="154"/>
      <c r="E232" s="154"/>
    </row>
    <row r="233" spans="1:5" x14ac:dyDescent="0.25">
      <c r="A233" s="154"/>
      <c r="B233" s="154"/>
      <c r="C233" s="154"/>
      <c r="D233" s="154"/>
      <c r="E233" s="154"/>
    </row>
    <row r="234" spans="1:5" x14ac:dyDescent="0.25">
      <c r="A234" s="154"/>
      <c r="B234" s="154"/>
      <c r="C234" s="154"/>
      <c r="D234" s="154"/>
      <c r="E234" s="154"/>
    </row>
    <row r="235" spans="1:5" x14ac:dyDescent="0.25">
      <c r="A235" s="154"/>
      <c r="B235" s="154"/>
      <c r="C235" s="154"/>
      <c r="D235" s="154"/>
      <c r="E235" s="154"/>
    </row>
    <row r="236" spans="1:5" x14ac:dyDescent="0.25">
      <c r="A236" s="154"/>
      <c r="B236" s="154"/>
      <c r="C236" s="154"/>
      <c r="D236" s="154"/>
      <c r="E236" s="154"/>
    </row>
    <row r="237" spans="1:5" x14ac:dyDescent="0.25">
      <c r="A237" s="154"/>
      <c r="B237" s="154"/>
      <c r="C237" s="154"/>
      <c r="D237" s="154"/>
      <c r="E237" s="154"/>
    </row>
    <row r="238" spans="1:5" x14ac:dyDescent="0.25">
      <c r="A238" s="154"/>
      <c r="B238" s="154"/>
      <c r="C238" s="154"/>
      <c r="D238" s="154"/>
      <c r="E238" s="154"/>
    </row>
    <row r="239" spans="1:5" x14ac:dyDescent="0.25">
      <c r="A239" s="154"/>
      <c r="B239" s="154"/>
      <c r="C239" s="154"/>
      <c r="D239" s="154"/>
      <c r="E239" s="154"/>
    </row>
    <row r="240" spans="1:5" x14ac:dyDescent="0.25">
      <c r="A240" s="154"/>
      <c r="B240" s="154"/>
      <c r="C240" s="154"/>
      <c r="D240" s="154"/>
      <c r="E240" s="154"/>
    </row>
    <row r="241" spans="1:5" x14ac:dyDescent="0.25">
      <c r="A241" s="154"/>
      <c r="B241" s="154"/>
      <c r="C241" s="154"/>
      <c r="D241" s="154"/>
      <c r="E241" s="154"/>
    </row>
    <row r="242" spans="1:5" x14ac:dyDescent="0.25">
      <c r="A242" s="154"/>
      <c r="B242" s="154"/>
      <c r="C242" s="154"/>
      <c r="D242" s="154"/>
      <c r="E242" s="154"/>
    </row>
    <row r="243" spans="1:5" x14ac:dyDescent="0.25">
      <c r="A243" s="154"/>
      <c r="B243" s="154"/>
      <c r="C243" s="154"/>
      <c r="D243" s="154"/>
      <c r="E243" s="154"/>
    </row>
    <row r="244" spans="1:5" x14ac:dyDescent="0.25">
      <c r="A244" s="154"/>
      <c r="B244" s="154"/>
      <c r="C244" s="154"/>
      <c r="D244" s="154"/>
      <c r="E244" s="154"/>
    </row>
    <row r="245" spans="1:5" x14ac:dyDescent="0.25">
      <c r="A245" s="154"/>
      <c r="B245" s="154"/>
      <c r="C245" s="154"/>
      <c r="D245" s="154"/>
      <c r="E245" s="154"/>
    </row>
    <row r="246" spans="1:5" x14ac:dyDescent="0.25">
      <c r="A246" s="154"/>
      <c r="B246" s="154"/>
      <c r="C246" s="154"/>
      <c r="D246" s="154"/>
      <c r="E246" s="154"/>
    </row>
    <row r="247" spans="1:5" x14ac:dyDescent="0.25">
      <c r="A247" s="154"/>
      <c r="B247" s="154"/>
      <c r="C247" s="154"/>
      <c r="D247" s="154"/>
      <c r="E247" s="154"/>
    </row>
    <row r="248" spans="1:5" x14ac:dyDescent="0.25">
      <c r="A248" s="154"/>
      <c r="B248" s="154"/>
      <c r="C248" s="154"/>
      <c r="D248" s="154"/>
      <c r="E248" s="154"/>
    </row>
    <row r="249" spans="1:5" x14ac:dyDescent="0.25">
      <c r="A249" s="154"/>
      <c r="B249" s="154"/>
      <c r="C249" s="154"/>
      <c r="D249" s="154"/>
      <c r="E249" s="154"/>
    </row>
    <row r="250" spans="1:5" x14ac:dyDescent="0.25">
      <c r="A250" s="154"/>
      <c r="B250" s="154"/>
      <c r="C250" s="154"/>
      <c r="D250" s="154"/>
      <c r="E250" s="154"/>
    </row>
    <row r="251" spans="1:5" x14ac:dyDescent="0.25">
      <c r="A251" s="154"/>
      <c r="B251" s="154"/>
      <c r="C251" s="154"/>
      <c r="D251" s="154"/>
      <c r="E251" s="154"/>
    </row>
    <row r="252" spans="1:5" x14ac:dyDescent="0.25">
      <c r="A252" s="154"/>
      <c r="B252" s="154"/>
      <c r="C252" s="154"/>
      <c r="D252" s="154"/>
      <c r="E252" s="154"/>
    </row>
    <row r="253" spans="1:5" x14ac:dyDescent="0.25">
      <c r="A253" s="154"/>
      <c r="B253" s="154"/>
      <c r="C253" s="154"/>
      <c r="D253" s="154"/>
      <c r="E253" s="154"/>
    </row>
    <row r="254" spans="1:5" x14ac:dyDescent="0.25">
      <c r="A254" s="154"/>
      <c r="B254" s="154"/>
      <c r="C254" s="154"/>
      <c r="D254" s="154"/>
      <c r="E254" s="154"/>
    </row>
    <row r="255" spans="1:5" x14ac:dyDescent="0.25">
      <c r="A255" s="154"/>
      <c r="B255" s="154"/>
      <c r="C255" s="154"/>
      <c r="D255" s="154"/>
      <c r="E255" s="154"/>
    </row>
    <row r="256" spans="1:5" x14ac:dyDescent="0.25">
      <c r="A256" s="154"/>
      <c r="B256" s="154"/>
      <c r="C256" s="154"/>
      <c r="D256" s="154"/>
      <c r="E256" s="154"/>
    </row>
    <row r="257" spans="1:5" x14ac:dyDescent="0.25">
      <c r="A257" s="154"/>
      <c r="B257" s="154"/>
      <c r="C257" s="154"/>
      <c r="D257" s="154"/>
      <c r="E257" s="154"/>
    </row>
    <row r="258" spans="1:5" x14ac:dyDescent="0.25">
      <c r="A258" s="154"/>
      <c r="B258" s="154"/>
      <c r="C258" s="154"/>
      <c r="D258" s="154"/>
      <c r="E258" s="154"/>
    </row>
    <row r="259" spans="1:5" x14ac:dyDescent="0.25">
      <c r="A259" s="154"/>
      <c r="B259" s="154"/>
      <c r="C259" s="154"/>
      <c r="D259" s="154"/>
      <c r="E259" s="154"/>
    </row>
    <row r="260" spans="1:5" x14ac:dyDescent="0.25">
      <c r="A260" s="154"/>
      <c r="B260" s="154"/>
      <c r="C260" s="154"/>
      <c r="D260" s="154"/>
      <c r="E260" s="154"/>
    </row>
    <row r="261" spans="1:5" x14ac:dyDescent="0.25">
      <c r="A261" s="154"/>
      <c r="B261" s="154"/>
      <c r="C261" s="154"/>
      <c r="D261" s="154"/>
      <c r="E261" s="154"/>
    </row>
    <row r="262" spans="1:5" x14ac:dyDescent="0.25">
      <c r="A262" s="154"/>
      <c r="B262" s="154"/>
      <c r="C262" s="154"/>
      <c r="D262" s="154"/>
      <c r="E262" s="154"/>
    </row>
    <row r="263" spans="1:5" x14ac:dyDescent="0.25">
      <c r="A263" s="154"/>
      <c r="B263" s="154"/>
      <c r="C263" s="154"/>
      <c r="D263" s="154"/>
      <c r="E263" s="154"/>
    </row>
    <row r="264" spans="1:5" x14ac:dyDescent="0.25">
      <c r="A264" s="154"/>
      <c r="B264" s="154"/>
      <c r="C264" s="154"/>
      <c r="D264" s="154"/>
      <c r="E264" s="154"/>
    </row>
    <row r="265" spans="1:5" x14ac:dyDescent="0.25">
      <c r="A265" s="154"/>
      <c r="B265" s="154"/>
      <c r="C265" s="154"/>
      <c r="D265" s="154"/>
      <c r="E265" s="154"/>
    </row>
    <row r="266" spans="1:5" x14ac:dyDescent="0.25">
      <c r="A266" s="154"/>
      <c r="B266" s="154"/>
      <c r="C266" s="154"/>
      <c r="D266" s="154"/>
      <c r="E266" s="154"/>
    </row>
    <row r="267" spans="1:5" x14ac:dyDescent="0.25">
      <c r="A267" s="154"/>
      <c r="B267" s="154"/>
      <c r="C267" s="154"/>
      <c r="D267" s="154"/>
      <c r="E267" s="154"/>
    </row>
    <row r="268" spans="1:5" x14ac:dyDescent="0.25">
      <c r="A268" s="154"/>
      <c r="B268" s="154"/>
      <c r="C268" s="154"/>
      <c r="D268" s="154"/>
      <c r="E268" s="154"/>
    </row>
    <row r="269" spans="1:5" x14ac:dyDescent="0.25">
      <c r="A269" s="154"/>
      <c r="B269" s="154"/>
      <c r="C269" s="154"/>
      <c r="D269" s="154"/>
      <c r="E269" s="154"/>
    </row>
    <row r="270" spans="1:5" x14ac:dyDescent="0.25">
      <c r="A270" s="154"/>
      <c r="B270" s="154"/>
      <c r="C270" s="154"/>
      <c r="D270" s="154"/>
      <c r="E270" s="154"/>
    </row>
    <row r="271" spans="1:5" x14ac:dyDescent="0.25">
      <c r="A271" s="154"/>
      <c r="B271" s="154"/>
      <c r="C271" s="154"/>
      <c r="D271" s="154"/>
      <c r="E271" s="154"/>
    </row>
    <row r="272" spans="1:5" x14ac:dyDescent="0.25">
      <c r="A272" s="154"/>
      <c r="B272" s="154"/>
      <c r="C272" s="154"/>
      <c r="D272" s="154"/>
      <c r="E272" s="154"/>
    </row>
    <row r="273" spans="1:5" x14ac:dyDescent="0.25">
      <c r="A273" s="154"/>
      <c r="B273" s="154"/>
      <c r="C273" s="154"/>
      <c r="D273" s="154"/>
      <c r="E273" s="154"/>
    </row>
    <row r="274" spans="1:5" x14ac:dyDescent="0.25">
      <c r="A274" s="154"/>
      <c r="B274" s="154"/>
      <c r="C274" s="154"/>
      <c r="D274" s="154"/>
      <c r="E274" s="154"/>
    </row>
    <row r="275" spans="1:5" x14ac:dyDescent="0.25">
      <c r="A275" s="154"/>
      <c r="B275" s="154"/>
      <c r="C275" s="154"/>
      <c r="D275" s="154"/>
      <c r="E275" s="154"/>
    </row>
    <row r="276" spans="1:5" x14ac:dyDescent="0.25">
      <c r="A276" s="154"/>
      <c r="B276" s="154"/>
      <c r="C276" s="154"/>
      <c r="D276" s="154"/>
      <c r="E276" s="154"/>
    </row>
    <row r="277" spans="1:5" x14ac:dyDescent="0.25">
      <c r="A277" s="154"/>
      <c r="B277" s="154"/>
      <c r="C277" s="154"/>
      <c r="D277" s="154"/>
      <c r="E277" s="154"/>
    </row>
    <row r="278" spans="1:5" x14ac:dyDescent="0.25">
      <c r="A278" s="154"/>
      <c r="B278" s="154"/>
      <c r="C278" s="154"/>
      <c r="D278" s="154"/>
      <c r="E278" s="154"/>
    </row>
    <row r="279" spans="1:5" x14ac:dyDescent="0.25">
      <c r="A279" s="154"/>
      <c r="B279" s="154"/>
      <c r="C279" s="154"/>
      <c r="D279" s="154"/>
      <c r="E279" s="154"/>
    </row>
    <row r="280" spans="1:5" x14ac:dyDescent="0.25">
      <c r="A280" s="154"/>
      <c r="B280" s="154"/>
      <c r="C280" s="154"/>
      <c r="D280" s="154"/>
      <c r="E280" s="154"/>
    </row>
    <row r="281" spans="1:5" x14ac:dyDescent="0.25">
      <c r="A281" s="154"/>
      <c r="B281" s="154"/>
      <c r="C281" s="154"/>
      <c r="D281" s="154"/>
      <c r="E281" s="154"/>
    </row>
    <row r="282" spans="1:5" x14ac:dyDescent="0.25">
      <c r="A282" s="154"/>
      <c r="B282" s="154"/>
      <c r="C282" s="154"/>
      <c r="D282" s="154"/>
      <c r="E282" s="154"/>
    </row>
    <row r="283" spans="1:5" x14ac:dyDescent="0.25">
      <c r="A283" s="154"/>
      <c r="B283" s="154"/>
      <c r="C283" s="154"/>
      <c r="D283" s="154"/>
      <c r="E283" s="154"/>
    </row>
    <row r="284" spans="1:5" x14ac:dyDescent="0.25">
      <c r="A284" s="154"/>
      <c r="B284" s="154"/>
      <c r="C284" s="154"/>
      <c r="D284" s="154"/>
      <c r="E284" s="154"/>
    </row>
    <row r="285" spans="1:5" x14ac:dyDescent="0.25">
      <c r="A285" s="154"/>
      <c r="B285" s="154"/>
      <c r="C285" s="154"/>
      <c r="D285" s="154"/>
      <c r="E285" s="154"/>
    </row>
    <row r="286" spans="1:5" x14ac:dyDescent="0.25">
      <c r="A286" s="154"/>
      <c r="B286" s="154"/>
      <c r="C286" s="154"/>
      <c r="D286" s="154"/>
      <c r="E286" s="154"/>
    </row>
    <row r="287" spans="1:5" x14ac:dyDescent="0.25">
      <c r="A287" s="154"/>
      <c r="B287" s="154"/>
      <c r="C287" s="154"/>
      <c r="D287" s="154"/>
      <c r="E287" s="154"/>
    </row>
    <row r="288" spans="1:5" x14ac:dyDescent="0.25">
      <c r="A288" s="154"/>
      <c r="B288" s="154"/>
      <c r="C288" s="154"/>
      <c r="D288" s="154"/>
      <c r="E288" s="154"/>
    </row>
    <row r="289" spans="1:5" x14ac:dyDescent="0.25">
      <c r="A289" s="154"/>
      <c r="B289" s="154"/>
      <c r="C289" s="154"/>
      <c r="D289" s="154"/>
      <c r="E289" s="154"/>
    </row>
    <row r="290" spans="1:5" x14ac:dyDescent="0.25">
      <c r="A290" s="154"/>
      <c r="B290" s="154"/>
      <c r="C290" s="154"/>
      <c r="D290" s="154"/>
      <c r="E290" s="154"/>
    </row>
    <row r="291" spans="1:5" x14ac:dyDescent="0.25">
      <c r="A291" s="154"/>
      <c r="B291" s="154"/>
      <c r="C291" s="154"/>
      <c r="D291" s="154"/>
      <c r="E291" s="154"/>
    </row>
    <row r="292" spans="1:5" x14ac:dyDescent="0.25">
      <c r="A292" s="154"/>
      <c r="B292" s="154"/>
      <c r="C292" s="154"/>
      <c r="D292" s="154"/>
      <c r="E292" s="154"/>
    </row>
    <row r="293" spans="1:5" x14ac:dyDescent="0.25">
      <c r="A293" s="154"/>
      <c r="B293" s="154"/>
      <c r="C293" s="154"/>
      <c r="D293" s="154"/>
      <c r="E293" s="154"/>
    </row>
    <row r="294" spans="1:5" x14ac:dyDescent="0.25">
      <c r="A294" s="154"/>
      <c r="B294" s="154"/>
      <c r="C294" s="154"/>
      <c r="D294" s="154"/>
      <c r="E294" s="154"/>
    </row>
    <row r="295" spans="1:5" x14ac:dyDescent="0.25">
      <c r="A295" s="154"/>
      <c r="B295" s="154"/>
      <c r="C295" s="154"/>
      <c r="D295" s="154"/>
      <c r="E295" s="154"/>
    </row>
    <row r="296" spans="1:5" x14ac:dyDescent="0.25">
      <c r="A296" s="154"/>
      <c r="B296" s="154"/>
      <c r="C296" s="154"/>
      <c r="D296" s="154"/>
      <c r="E296" s="154"/>
    </row>
    <row r="297" spans="1:5" x14ac:dyDescent="0.25">
      <c r="A297" s="154"/>
      <c r="B297" s="154"/>
      <c r="C297" s="154"/>
      <c r="D297" s="154"/>
      <c r="E297" s="154"/>
    </row>
    <row r="298" spans="1:5" x14ac:dyDescent="0.25">
      <c r="A298" s="154"/>
      <c r="B298" s="154"/>
      <c r="C298" s="154"/>
      <c r="D298" s="154"/>
      <c r="E298" s="154"/>
    </row>
    <row r="299" spans="1:5" x14ac:dyDescent="0.25">
      <c r="A299" s="154"/>
      <c r="B299" s="154"/>
      <c r="C299" s="154"/>
      <c r="D299" s="154"/>
      <c r="E299" s="154"/>
    </row>
    <row r="300" spans="1:5" x14ac:dyDescent="0.25">
      <c r="A300" s="154"/>
      <c r="B300" s="154"/>
      <c r="C300" s="154"/>
      <c r="D300" s="154"/>
      <c r="E300" s="154"/>
    </row>
    <row r="301" spans="1:5" x14ac:dyDescent="0.25">
      <c r="A301" s="154"/>
      <c r="B301" s="154"/>
      <c r="C301" s="154"/>
      <c r="D301" s="154"/>
      <c r="E301" s="154"/>
    </row>
    <row r="302" spans="1:5" x14ac:dyDescent="0.25">
      <c r="A302" s="154"/>
      <c r="B302" s="154"/>
      <c r="C302" s="154"/>
      <c r="D302" s="154"/>
      <c r="E302" s="154"/>
    </row>
    <row r="303" spans="1:5" x14ac:dyDescent="0.25">
      <c r="A303" s="154"/>
      <c r="B303" s="154"/>
      <c r="C303" s="154"/>
      <c r="D303" s="154"/>
      <c r="E303" s="154"/>
    </row>
    <row r="304" spans="1:5" x14ac:dyDescent="0.25">
      <c r="A304" s="154"/>
      <c r="B304" s="154"/>
      <c r="C304" s="154"/>
      <c r="D304" s="154"/>
      <c r="E304" s="154"/>
    </row>
    <row r="305" spans="1:5" x14ac:dyDescent="0.25">
      <c r="A305" s="154"/>
      <c r="B305" s="154"/>
      <c r="C305" s="154"/>
      <c r="D305" s="154"/>
      <c r="E305" s="154"/>
    </row>
    <row r="306" spans="1:5" x14ac:dyDescent="0.25">
      <c r="A306" s="154"/>
      <c r="B306" s="154"/>
      <c r="C306" s="154"/>
      <c r="D306" s="154"/>
      <c r="E306" s="154"/>
    </row>
    <row r="307" spans="1:5" x14ac:dyDescent="0.25">
      <c r="A307" s="154"/>
      <c r="B307" s="154"/>
      <c r="C307" s="154"/>
      <c r="D307" s="154"/>
      <c r="E307" s="154"/>
    </row>
    <row r="308" spans="1:5" x14ac:dyDescent="0.25">
      <c r="A308" s="154"/>
      <c r="B308" s="154"/>
      <c r="C308" s="154"/>
      <c r="D308" s="154"/>
      <c r="E308" s="154"/>
    </row>
    <row r="309" spans="1:5" x14ac:dyDescent="0.25">
      <c r="A309" s="154"/>
      <c r="B309" s="154"/>
      <c r="C309" s="154"/>
      <c r="D309" s="154"/>
      <c r="E309" s="154"/>
    </row>
    <row r="310" spans="1:5" x14ac:dyDescent="0.25">
      <c r="A310" s="154"/>
      <c r="B310" s="154"/>
      <c r="C310" s="154"/>
      <c r="D310" s="154"/>
      <c r="E310" s="154"/>
    </row>
    <row r="311" spans="1:5" x14ac:dyDescent="0.25">
      <c r="A311" s="154"/>
      <c r="B311" s="154"/>
      <c r="C311" s="154"/>
      <c r="D311" s="154"/>
      <c r="E311" s="154"/>
    </row>
    <row r="312" spans="1:5" x14ac:dyDescent="0.25">
      <c r="A312" s="154"/>
      <c r="B312" s="154"/>
      <c r="C312" s="154"/>
      <c r="D312" s="154"/>
      <c r="E312" s="154"/>
    </row>
    <row r="313" spans="1:5" x14ac:dyDescent="0.25">
      <c r="A313" s="154"/>
      <c r="B313" s="154"/>
      <c r="C313" s="154"/>
      <c r="D313" s="154"/>
      <c r="E313" s="154"/>
    </row>
    <row r="314" spans="1:5" x14ac:dyDescent="0.25">
      <c r="A314" s="154"/>
      <c r="B314" s="154"/>
      <c r="C314" s="154"/>
      <c r="D314" s="154"/>
      <c r="E314" s="154"/>
    </row>
    <row r="315" spans="1:5" x14ac:dyDescent="0.25">
      <c r="A315" s="154"/>
      <c r="B315" s="154"/>
      <c r="C315" s="154"/>
      <c r="D315" s="154"/>
      <c r="E315" s="154"/>
    </row>
    <row r="316" spans="1:5" x14ac:dyDescent="0.25">
      <c r="A316" s="154"/>
      <c r="B316" s="154"/>
      <c r="C316" s="154"/>
      <c r="D316" s="154"/>
      <c r="E316" s="154"/>
    </row>
    <row r="317" spans="1:5" x14ac:dyDescent="0.25">
      <c r="A317" s="154"/>
      <c r="B317" s="154"/>
      <c r="C317" s="154"/>
      <c r="D317" s="154"/>
      <c r="E317" s="154"/>
    </row>
  </sheetData>
  <autoFilter ref="D3:E3"/>
  <mergeCells count="2">
    <mergeCell ref="A66:F67"/>
    <mergeCell ref="A69:F69"/>
  </mergeCells>
  <phoneticPr fontId="75" type="noConversion"/>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H95" activeCellId="1" sqref="I29 H95"/>
    </sheetView>
  </sheetViews>
  <sheetFormatPr baseColWidth="10" defaultRowHeight="15" x14ac:dyDescent="0.25"/>
  <cols>
    <col min="1" max="1" width="2.5703125" bestFit="1" customWidth="1"/>
    <col min="2" max="2" width="22.7109375" bestFit="1" customWidth="1"/>
    <col min="3" max="3" width="112.42578125" customWidth="1"/>
    <col min="4" max="4" width="70.42578125" bestFit="1" customWidth="1"/>
  </cols>
  <sheetData>
    <row r="1" spans="1:4" x14ac:dyDescent="0.25">
      <c r="B1" s="527" t="s">
        <v>101</v>
      </c>
      <c r="C1" s="527"/>
      <c r="D1" s="11" t="s">
        <v>102</v>
      </c>
    </row>
    <row r="2" spans="1:4" s="8" customFormat="1" ht="45.75" customHeight="1" x14ac:dyDescent="0.25">
      <c r="A2" s="10" t="s">
        <v>87</v>
      </c>
      <c r="B2" s="10" t="s">
        <v>81</v>
      </c>
      <c r="C2" s="232" t="s">
        <v>77</v>
      </c>
      <c r="D2" s="26" t="s">
        <v>129</v>
      </c>
    </row>
    <row r="3" spans="1:4" s="8" customFormat="1" ht="45.75" customHeight="1" x14ac:dyDescent="0.25">
      <c r="A3" s="10" t="s">
        <v>88</v>
      </c>
      <c r="B3" s="10" t="s">
        <v>82</v>
      </c>
      <c r="C3" s="9" t="s">
        <v>78</v>
      </c>
      <c r="D3" s="7"/>
    </row>
    <row r="4" spans="1:4" s="8" customFormat="1" ht="45.75" customHeight="1" x14ac:dyDescent="0.25">
      <c r="A4" s="10" t="s">
        <v>89</v>
      </c>
      <c r="B4" s="10" t="s">
        <v>83</v>
      </c>
      <c r="C4" s="9" t="s">
        <v>79</v>
      </c>
      <c r="D4" s="7"/>
    </row>
    <row r="5" spans="1:4" s="8" customFormat="1" ht="45.75" customHeight="1" x14ac:dyDescent="0.25">
      <c r="A5" s="10" t="s">
        <v>90</v>
      </c>
      <c r="B5" s="10" t="s">
        <v>84</v>
      </c>
      <c r="C5" s="9" t="s">
        <v>80</v>
      </c>
      <c r="D5" s="7"/>
    </row>
    <row r="6" spans="1:4" s="8" customFormat="1" ht="45.75" customHeight="1" x14ac:dyDescent="0.25">
      <c r="A6" s="10" t="s">
        <v>91</v>
      </c>
      <c r="B6" s="10" t="s">
        <v>86</v>
      </c>
      <c r="C6" s="232" t="s">
        <v>313</v>
      </c>
      <c r="D6" s="7"/>
    </row>
    <row r="7" spans="1:4" s="8" customFormat="1" ht="45.75" customHeight="1" x14ac:dyDescent="0.25">
      <c r="A7" s="10" t="s">
        <v>92</v>
      </c>
      <c r="B7" s="10" t="s">
        <v>85</v>
      </c>
      <c r="C7" s="9" t="s">
        <v>314</v>
      </c>
      <c r="D7" s="7"/>
    </row>
  </sheetData>
  <mergeCells count="1">
    <mergeCell ref="B1:C1"/>
  </mergeCells>
  <phoneticPr fontId="75"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honeticPr fontId="75"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1"/>
  <sheetViews>
    <sheetView showGridLines="0" showRowColHeaders="0" tabSelected="1" workbookViewId="0">
      <selection activeCell="E5" sqref="E5:K8"/>
    </sheetView>
  </sheetViews>
  <sheetFormatPr baseColWidth="10" defaultRowHeight="16.5" x14ac:dyDescent="0.3"/>
  <cols>
    <col min="1" max="1" width="13.5703125" style="287" customWidth="1"/>
    <col min="2" max="3" width="3.42578125" style="287" customWidth="1"/>
    <col min="4" max="4" width="3.7109375" style="287" customWidth="1"/>
    <col min="5" max="5" width="11.42578125" style="287"/>
    <col min="6" max="6" width="32.85546875" style="287" customWidth="1"/>
    <col min="7" max="7" width="36" style="287" customWidth="1"/>
    <col min="8" max="8" width="3.7109375" style="287" customWidth="1"/>
    <col min="9" max="9" width="11.42578125" style="287"/>
    <col min="10" max="10" width="21.140625" style="287" customWidth="1"/>
    <col min="11" max="11" width="11.85546875" style="287" customWidth="1"/>
    <col min="12" max="12" width="6.140625" style="287" customWidth="1"/>
    <col min="13" max="13" width="19" style="287" customWidth="1"/>
    <col min="14" max="14" width="3.7109375" style="287" customWidth="1"/>
    <col min="15" max="16384" width="11.42578125" style="287"/>
  </cols>
  <sheetData>
    <row r="2" spans="1:13" ht="21.75" customHeight="1" x14ac:dyDescent="0.3">
      <c r="G2" s="288"/>
    </row>
    <row r="3" spans="1:13" s="289" customFormat="1" ht="22.5" customHeight="1" x14ac:dyDescent="0.3">
      <c r="A3" s="287"/>
      <c r="B3" s="287"/>
      <c r="C3" s="287"/>
      <c r="D3" s="287"/>
      <c r="E3" s="287"/>
      <c r="F3" s="287"/>
      <c r="G3" s="287"/>
      <c r="H3" s="287"/>
      <c r="I3" s="287"/>
      <c r="J3" s="287"/>
      <c r="K3" s="287"/>
      <c r="L3" s="287"/>
      <c r="M3" s="287"/>
    </row>
    <row r="4" spans="1:13" s="289" customFormat="1" ht="22.5" customHeight="1" x14ac:dyDescent="0.3">
      <c r="A4" s="287"/>
      <c r="B4" s="287"/>
      <c r="C4" s="287"/>
      <c r="D4" s="287"/>
      <c r="E4" s="287"/>
      <c r="F4" s="287"/>
      <c r="G4" s="287"/>
      <c r="H4" s="287"/>
      <c r="I4" s="287"/>
      <c r="J4" s="287"/>
      <c r="K4" s="287"/>
      <c r="L4" s="287"/>
      <c r="M4" s="287"/>
    </row>
    <row r="5" spans="1:13" ht="22.5" customHeight="1" x14ac:dyDescent="0.3">
      <c r="E5" s="528" t="s">
        <v>546</v>
      </c>
      <c r="F5" s="528"/>
      <c r="G5" s="528"/>
      <c r="H5" s="528"/>
      <c r="I5" s="528"/>
      <c r="J5" s="528"/>
      <c r="K5" s="528"/>
      <c r="L5" s="290"/>
    </row>
    <row r="6" spans="1:13" ht="16.5" customHeight="1" x14ac:dyDescent="0.3">
      <c r="E6" s="528"/>
      <c r="F6" s="528"/>
      <c r="G6" s="528"/>
      <c r="H6" s="528"/>
      <c r="I6" s="528"/>
      <c r="J6" s="528"/>
      <c r="K6" s="528"/>
      <c r="M6" s="529" t="s">
        <v>609</v>
      </c>
    </row>
    <row r="7" spans="1:13" ht="16.5" customHeight="1" x14ac:dyDescent="0.3">
      <c r="E7" s="528"/>
      <c r="F7" s="528"/>
      <c r="G7" s="528"/>
      <c r="H7" s="528"/>
      <c r="I7" s="528"/>
      <c r="J7" s="528"/>
      <c r="K7" s="528"/>
      <c r="L7" s="290"/>
      <c r="M7" s="529"/>
    </row>
    <row r="8" spans="1:13" s="289" customFormat="1" ht="20.25" customHeight="1" x14ac:dyDescent="0.25">
      <c r="A8" s="290"/>
      <c r="B8" s="290"/>
      <c r="C8" s="290"/>
      <c r="D8" s="290"/>
      <c r="E8" s="528"/>
      <c r="F8" s="528"/>
      <c r="G8" s="528"/>
      <c r="H8" s="528"/>
      <c r="I8" s="528"/>
      <c r="J8" s="528"/>
      <c r="K8" s="528"/>
      <c r="L8" s="290"/>
      <c r="M8" s="290"/>
    </row>
    <row r="9" spans="1:13" s="289" customFormat="1" ht="20.25" customHeight="1" x14ac:dyDescent="0.3">
      <c r="A9" s="290"/>
      <c r="B9" s="290"/>
      <c r="C9" s="290"/>
      <c r="D9" s="290"/>
      <c r="E9" s="287"/>
      <c r="F9" s="287"/>
      <c r="G9" s="287"/>
      <c r="H9" s="287"/>
      <c r="I9" s="287"/>
      <c r="J9" s="287"/>
      <c r="K9" s="287"/>
      <c r="L9" s="290"/>
      <c r="M9" s="290"/>
    </row>
    <row r="10" spans="1:13" s="289" customFormat="1" ht="17.25" customHeight="1" x14ac:dyDescent="0.25">
      <c r="A10" s="290"/>
      <c r="B10" s="290"/>
      <c r="C10" s="290"/>
      <c r="D10" s="290"/>
      <c r="E10" s="290"/>
      <c r="F10" s="290"/>
      <c r="G10" s="290"/>
      <c r="H10" s="290"/>
      <c r="I10" s="290"/>
      <c r="J10" s="290"/>
      <c r="K10" s="290"/>
      <c r="L10" s="290"/>
      <c r="M10" s="290"/>
    </row>
    <row r="11" spans="1:13" ht="20.100000000000001" customHeight="1" x14ac:dyDescent="0.3">
      <c r="B11" s="536" t="s">
        <v>470</v>
      </c>
      <c r="C11" s="536"/>
      <c r="D11" s="536"/>
      <c r="E11" s="536"/>
      <c r="F11" s="536"/>
      <c r="G11" s="536"/>
      <c r="H11" s="536"/>
      <c r="I11" s="536"/>
      <c r="J11" s="536"/>
      <c r="K11" s="536"/>
      <c r="L11" s="536"/>
      <c r="M11" s="536"/>
    </row>
    <row r="12" spans="1:13" ht="8.25" customHeight="1" x14ac:dyDescent="0.3">
      <c r="B12" s="290"/>
      <c r="C12" s="290"/>
      <c r="D12" s="290"/>
      <c r="E12" s="290"/>
      <c r="F12" s="290"/>
      <c r="G12" s="290"/>
      <c r="H12" s="290"/>
      <c r="I12" s="290"/>
      <c r="J12" s="290"/>
      <c r="K12" s="290"/>
      <c r="L12" s="290"/>
      <c r="M12" s="290"/>
    </row>
    <row r="13" spans="1:13" s="291" customFormat="1" ht="18" x14ac:dyDescent="0.25">
      <c r="C13" s="530" t="s">
        <v>87</v>
      </c>
      <c r="D13" s="531"/>
      <c r="E13" s="534" t="s">
        <v>472</v>
      </c>
      <c r="F13" s="534"/>
      <c r="G13" s="534"/>
      <c r="H13" s="534"/>
      <c r="I13" s="534"/>
      <c r="J13" s="534"/>
      <c r="K13" s="535"/>
      <c r="L13" s="292"/>
    </row>
    <row r="14" spans="1:13" s="291" customFormat="1" ht="7.5" customHeight="1" x14ac:dyDescent="0.25">
      <c r="B14" s="293"/>
      <c r="C14" s="401"/>
      <c r="D14" s="401"/>
      <c r="E14" s="294"/>
      <c r="F14" s="293"/>
    </row>
    <row r="15" spans="1:13" s="291" customFormat="1" ht="20.25" x14ac:dyDescent="0.3">
      <c r="B15" s="295"/>
      <c r="C15" s="532" t="s">
        <v>88</v>
      </c>
      <c r="D15" s="533"/>
      <c r="E15" s="534" t="s">
        <v>590</v>
      </c>
      <c r="F15" s="534"/>
      <c r="G15" s="534"/>
      <c r="H15" s="534"/>
      <c r="I15" s="534"/>
      <c r="J15" s="534"/>
      <c r="K15" s="535"/>
      <c r="L15" s="292"/>
    </row>
    <row r="16" spans="1:13" s="291" customFormat="1" ht="7.5" customHeight="1" x14ac:dyDescent="0.25">
      <c r="B16" s="295"/>
      <c r="C16" s="402"/>
      <c r="D16" s="401"/>
      <c r="E16" s="294"/>
      <c r="F16" s="293"/>
    </row>
    <row r="17" spans="2:13" s="291" customFormat="1" ht="20.25" x14ac:dyDescent="0.3">
      <c r="B17" s="295"/>
      <c r="C17" s="532" t="s">
        <v>89</v>
      </c>
      <c r="D17" s="533"/>
      <c r="E17" s="534" t="s">
        <v>591</v>
      </c>
      <c r="F17" s="534"/>
      <c r="G17" s="534"/>
      <c r="H17" s="534"/>
      <c r="I17" s="534"/>
      <c r="J17" s="534"/>
      <c r="K17" s="535"/>
      <c r="L17" s="292"/>
    </row>
    <row r="18" spans="2:13" s="291" customFormat="1" ht="7.5" customHeight="1" x14ac:dyDescent="0.25">
      <c r="B18" s="295"/>
      <c r="C18" s="402"/>
      <c r="D18" s="401"/>
      <c r="E18" s="294"/>
      <c r="F18" s="293"/>
    </row>
    <row r="19" spans="2:13" s="291" customFormat="1" ht="20.25" x14ac:dyDescent="0.3">
      <c r="B19" s="295"/>
      <c r="C19" s="532" t="s">
        <v>90</v>
      </c>
      <c r="D19" s="533"/>
      <c r="E19" s="534" t="s">
        <v>476</v>
      </c>
      <c r="F19" s="534"/>
      <c r="G19" s="534"/>
      <c r="H19" s="534"/>
      <c r="I19" s="534"/>
      <c r="J19" s="534"/>
      <c r="K19" s="535"/>
      <c r="L19" s="292"/>
    </row>
    <row r="20" spans="2:13" s="291" customFormat="1" ht="7.5" customHeight="1" x14ac:dyDescent="0.25">
      <c r="B20" s="295"/>
      <c r="C20" s="295"/>
      <c r="D20" s="293"/>
      <c r="E20" s="294"/>
      <c r="F20" s="293"/>
    </row>
    <row r="21" spans="2:13" s="291" customFormat="1" ht="18" x14ac:dyDescent="0.25">
      <c r="B21" s="295"/>
      <c r="C21" s="549" t="s">
        <v>523</v>
      </c>
      <c r="D21" s="534"/>
      <c r="E21" s="534"/>
      <c r="F21" s="534"/>
      <c r="G21" s="534"/>
      <c r="H21" s="534"/>
      <c r="I21" s="534"/>
      <c r="J21" s="534"/>
      <c r="K21" s="535"/>
      <c r="L21" s="302"/>
    </row>
    <row r="22" spans="2:13" ht="9" customHeight="1" x14ac:dyDescent="0.3">
      <c r="D22" s="296"/>
    </row>
    <row r="23" spans="2:13" ht="20.100000000000001" customHeight="1" x14ac:dyDescent="0.3">
      <c r="B23" s="536" t="s">
        <v>471</v>
      </c>
      <c r="C23" s="536"/>
      <c r="D23" s="536"/>
      <c r="E23" s="536"/>
      <c r="F23" s="536"/>
      <c r="G23" s="536"/>
      <c r="H23" s="536"/>
      <c r="I23" s="536"/>
      <c r="J23" s="536"/>
      <c r="K23" s="536"/>
      <c r="L23" s="536"/>
      <c r="M23" s="536"/>
    </row>
    <row r="24" spans="2:13" ht="9.75" customHeight="1" x14ac:dyDescent="0.3"/>
    <row r="25" spans="2:13" ht="6.75" customHeight="1" thickBot="1" x14ac:dyDescent="0.35"/>
    <row r="26" spans="2:13" x14ac:dyDescent="0.3">
      <c r="C26" s="537" t="s">
        <v>592</v>
      </c>
      <c r="D26" s="538"/>
      <c r="E26" s="538"/>
      <c r="F26" s="538"/>
      <c r="G26" s="538"/>
      <c r="H26" s="538"/>
      <c r="I26" s="538"/>
      <c r="J26" s="538"/>
      <c r="K26" s="538"/>
      <c r="L26" s="538"/>
      <c r="M26" s="539"/>
    </row>
    <row r="27" spans="2:13" ht="15" customHeight="1" x14ac:dyDescent="0.3">
      <c r="C27" s="540"/>
      <c r="D27" s="541"/>
      <c r="E27" s="541"/>
      <c r="F27" s="541"/>
      <c r="G27" s="541"/>
      <c r="H27" s="541"/>
      <c r="I27" s="541"/>
      <c r="J27" s="541"/>
      <c r="K27" s="541"/>
      <c r="L27" s="541"/>
      <c r="M27" s="542"/>
    </row>
    <row r="28" spans="2:13" ht="27.75" customHeight="1" thickBot="1" x14ac:dyDescent="0.35">
      <c r="C28" s="543"/>
      <c r="D28" s="544"/>
      <c r="E28" s="544"/>
      <c r="F28" s="544"/>
      <c r="G28" s="544"/>
      <c r="H28" s="544"/>
      <c r="I28" s="544"/>
      <c r="J28" s="544"/>
      <c r="K28" s="544"/>
      <c r="L28" s="544"/>
      <c r="M28" s="545"/>
    </row>
    <row r="29" spans="2:13" ht="13.5" customHeight="1" thickBot="1" x14ac:dyDescent="0.35">
      <c r="M29" s="287" t="s">
        <v>365</v>
      </c>
    </row>
    <row r="30" spans="2:13" ht="18" thickBot="1" x14ac:dyDescent="0.35">
      <c r="F30" s="546" t="s">
        <v>548</v>
      </c>
      <c r="G30" s="547"/>
      <c r="H30" s="547"/>
      <c r="I30" s="547"/>
      <c r="J30" s="548"/>
    </row>
    <row r="31" spans="2:13" ht="11.25" customHeight="1" x14ac:dyDescent="0.3"/>
  </sheetData>
  <sheetProtection password="EBEE" sheet="1" objects="1" scenarios="1"/>
  <protectedRanges>
    <protectedRange sqref="F64" name="Rango1"/>
  </protectedRanges>
  <mergeCells count="15">
    <mergeCell ref="E19:K19"/>
    <mergeCell ref="C26:M28"/>
    <mergeCell ref="C17:D17"/>
    <mergeCell ref="E17:K17"/>
    <mergeCell ref="F30:J30"/>
    <mergeCell ref="B23:M23"/>
    <mergeCell ref="C19:D19"/>
    <mergeCell ref="C21:K21"/>
    <mergeCell ref="E5:K8"/>
    <mergeCell ref="M6:M7"/>
    <mergeCell ref="C13:D13"/>
    <mergeCell ref="C15:D15"/>
    <mergeCell ref="E15:K15"/>
    <mergeCell ref="B11:M11"/>
    <mergeCell ref="E13:K13"/>
  </mergeCells>
  <phoneticPr fontId="75" type="noConversion"/>
  <hyperlinks>
    <hyperlink ref="E15" location="'2_Combustibles fósiles'!A1" display="HC Alcance 1: Combustibles fósiles"/>
    <hyperlink ref="E17" location="'6_Resultados'!A1" display="Informe final_Resultados"/>
    <hyperlink ref="E13" location="'1_Datos generales organización'!A1" display="Datos generales de la organización"/>
    <hyperlink ref="C21:I21" location="'Revisiones calculadora '!A1" display="Anexo : Revisiones de la calculadora"/>
    <hyperlink ref="E15:K15" location="'2. Estimación absorción total'!A1" display="Estimación de absorción total"/>
    <hyperlink ref="E17:K17" location="'3. Absorciones_Disponibles'!A1" display="Absorciones disponibles"/>
    <hyperlink ref="E19" location="'6_Resultados'!A1" display="Informe final_Resultados"/>
    <hyperlink ref="E19:K19" location="'4. Factores de absorción'!A1" display="Factores de absorción"/>
    <hyperlink ref="E13:K13" location="'1. Datos generales proyecto'!A1" display="Datos generales del proyecto"/>
  </hyperlinks>
  <pageMargins left="0.7" right="0.7" top="0.75" bottom="0.75" header="0.3" footer="0.3"/>
  <pageSetup paperSize="9"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88"/>
  <sheetViews>
    <sheetView showGridLines="0" showRowColHeaders="0" zoomScaleNormal="100" workbookViewId="0">
      <selection sqref="A1:AD2"/>
    </sheetView>
  </sheetViews>
  <sheetFormatPr baseColWidth="10" defaultRowHeight="16.5" x14ac:dyDescent="0.3"/>
  <cols>
    <col min="1" max="1" width="4.7109375" style="242" customWidth="1"/>
    <col min="2" max="2" width="3" style="242" customWidth="1"/>
    <col min="3" max="3" width="6" style="242" customWidth="1"/>
    <col min="4" max="4" width="5" style="242" customWidth="1"/>
    <col min="5" max="5" width="8.28515625" style="242" customWidth="1"/>
    <col min="6" max="6" width="11.42578125" style="242"/>
    <col min="7" max="7" width="8.28515625" style="242" customWidth="1"/>
    <col min="8" max="8" width="10.28515625" style="242" customWidth="1"/>
    <col min="9" max="9" width="4.28515625" style="242" customWidth="1"/>
    <col min="10" max="10" width="3.7109375" style="242" customWidth="1"/>
    <col min="11" max="11" width="7" style="242" customWidth="1"/>
    <col min="12" max="12" width="4.28515625" style="242" customWidth="1"/>
    <col min="13" max="13" width="3.85546875" style="242" customWidth="1"/>
    <col min="14" max="14" width="4.28515625" style="242" customWidth="1"/>
    <col min="15" max="15" width="3.85546875" style="242" customWidth="1"/>
    <col min="16" max="16" width="7.85546875" style="242" customWidth="1"/>
    <col min="17" max="17" width="3.5703125" style="242" customWidth="1"/>
    <col min="18" max="18" width="5" style="242" customWidth="1"/>
    <col min="19" max="19" width="4.140625" style="242" customWidth="1"/>
    <col min="20" max="20" width="6.85546875" style="242" customWidth="1"/>
    <col min="21" max="21" width="8" style="242" customWidth="1"/>
    <col min="22" max="22" width="8.140625" style="242" customWidth="1"/>
    <col min="23" max="23" width="4" style="242" customWidth="1"/>
    <col min="24" max="24" width="8" style="242" customWidth="1"/>
    <col min="25" max="25" width="7.140625" style="242" customWidth="1"/>
    <col min="26" max="26" width="7.28515625" style="242" customWidth="1"/>
    <col min="27" max="27" width="5.42578125" style="242" customWidth="1"/>
    <col min="28" max="28" width="6.85546875" style="242" customWidth="1"/>
    <col min="29" max="29" width="5.42578125" style="242" customWidth="1"/>
    <col min="30" max="30" width="3.140625" style="242" customWidth="1"/>
    <col min="31" max="31" width="5.42578125" style="242" customWidth="1"/>
    <col min="32" max="32" width="21" style="242" hidden="1" customWidth="1"/>
    <col min="33" max="33" width="9" style="242" hidden="1" customWidth="1"/>
    <col min="34" max="34" width="11.42578125" style="242" hidden="1" customWidth="1"/>
    <col min="35" max="35" width="8.28515625" style="242" hidden="1" customWidth="1"/>
    <col min="36" max="36" width="16.7109375" style="242" hidden="1" customWidth="1"/>
    <col min="37" max="41" width="0" style="242" hidden="1" customWidth="1"/>
    <col min="42" max="16384" width="11.42578125" style="242"/>
  </cols>
  <sheetData>
    <row r="1" spans="1:36" s="213" customFormat="1" ht="16.5" customHeight="1" x14ac:dyDescent="0.3">
      <c r="A1" s="557" t="s">
        <v>570</v>
      </c>
      <c r="B1" s="558"/>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242"/>
      <c r="AF1" s="213" t="s">
        <v>423</v>
      </c>
      <c r="AG1" s="213" t="s">
        <v>461</v>
      </c>
    </row>
    <row r="2" spans="1:36" s="213" customFormat="1" ht="16.5" customHeight="1" x14ac:dyDescent="0.3">
      <c r="A2" s="558"/>
      <c r="B2" s="558"/>
      <c r="C2" s="558"/>
      <c r="D2" s="558"/>
      <c r="E2" s="558"/>
      <c r="F2" s="558"/>
      <c r="G2" s="558"/>
      <c r="H2" s="558"/>
      <c r="I2" s="558"/>
      <c r="J2" s="558"/>
      <c r="K2" s="558"/>
      <c r="L2" s="558"/>
      <c r="M2" s="558"/>
      <c r="N2" s="558"/>
      <c r="O2" s="558"/>
      <c r="P2" s="558"/>
      <c r="Q2" s="558"/>
      <c r="R2" s="558"/>
      <c r="S2" s="558"/>
      <c r="T2" s="558"/>
      <c r="U2" s="558"/>
      <c r="V2" s="558"/>
      <c r="W2" s="558"/>
      <c r="X2" s="558"/>
      <c r="Y2" s="558"/>
      <c r="Z2" s="558"/>
      <c r="AA2" s="558"/>
      <c r="AB2" s="558"/>
      <c r="AC2" s="558"/>
      <c r="AD2" s="558"/>
      <c r="AE2" s="242"/>
      <c r="AF2" s="485" t="s">
        <v>378</v>
      </c>
      <c r="AG2" s="272" t="str">
        <f>G32</f>
        <v/>
      </c>
    </row>
    <row r="3" spans="1:36" x14ac:dyDescent="0.3">
      <c r="AF3" s="485" t="s">
        <v>379</v>
      </c>
      <c r="AG3" s="359">
        <f>G34</f>
        <v>0</v>
      </c>
      <c r="AI3" s="242" t="s">
        <v>520</v>
      </c>
      <c r="AJ3" s="373" t="str">
        <f>IF(ISTEXT(H6),H6,"")</f>
        <v/>
      </c>
    </row>
    <row r="4" spans="1:36" s="213" customFormat="1" ht="18" customHeight="1" x14ac:dyDescent="0.3">
      <c r="B4" s="559" t="s">
        <v>327</v>
      </c>
      <c r="C4" s="559"/>
      <c r="D4" s="559"/>
      <c r="E4" s="559"/>
      <c r="F4" s="559"/>
      <c r="G4" s="559"/>
      <c r="H4" s="559"/>
      <c r="I4" s="559"/>
      <c r="J4" s="559"/>
      <c r="K4" s="559"/>
      <c r="L4" s="559"/>
      <c r="M4" s="559"/>
      <c r="N4" s="559"/>
      <c r="O4" s="559"/>
      <c r="P4" s="559"/>
      <c r="Q4" s="559"/>
      <c r="R4" s="559"/>
      <c r="S4" s="559"/>
      <c r="T4" s="559"/>
      <c r="U4" s="559"/>
      <c r="V4" s="559"/>
      <c r="W4" s="559"/>
      <c r="X4" s="559"/>
      <c r="Y4" s="559"/>
      <c r="Z4" s="559"/>
      <c r="AA4" s="559"/>
      <c r="AB4" s="559"/>
      <c r="AC4" s="559"/>
      <c r="AD4" s="242"/>
      <c r="AE4" s="242"/>
      <c r="AF4" s="485" t="s">
        <v>380</v>
      </c>
      <c r="AG4" s="272">
        <f>G36</f>
        <v>0</v>
      </c>
      <c r="AI4" s="213" t="s">
        <v>521</v>
      </c>
      <c r="AJ4" s="373" t="str">
        <f>IF(ISTEXT(F8),F8,"")</f>
        <v/>
      </c>
    </row>
    <row r="5" spans="1:36" x14ac:dyDescent="0.3">
      <c r="V5" s="396"/>
      <c r="AF5" s="485" t="s">
        <v>381</v>
      </c>
      <c r="AG5" s="359">
        <f>G38</f>
        <v>0</v>
      </c>
      <c r="AI5" s="242" t="s">
        <v>428</v>
      </c>
      <c r="AJ5" s="372" t="str">
        <f>IF(ISTEXT(AA6),AA6,"")</f>
        <v/>
      </c>
    </row>
    <row r="6" spans="1:36" ht="16.5" customHeight="1" x14ac:dyDescent="0.3">
      <c r="C6" s="550" t="s">
        <v>333</v>
      </c>
      <c r="D6" s="550"/>
      <c r="E6" s="550"/>
      <c r="F6" s="550"/>
      <c r="G6" s="279"/>
      <c r="H6" s="563"/>
      <c r="I6" s="563"/>
      <c r="J6" s="563"/>
      <c r="K6" s="563"/>
      <c r="L6" s="563"/>
      <c r="M6" s="563"/>
      <c r="N6" s="563"/>
      <c r="O6" s="563"/>
      <c r="P6" s="563"/>
      <c r="Q6" s="563"/>
      <c r="R6" s="563"/>
      <c r="S6" s="563"/>
      <c r="T6" s="563"/>
      <c r="U6" s="563"/>
      <c r="V6" s="563"/>
      <c r="W6" s="564"/>
      <c r="Y6" s="560" t="s">
        <v>429</v>
      </c>
      <c r="Z6" s="561"/>
      <c r="AA6" s="565"/>
      <c r="AB6" s="566"/>
      <c r="AC6" s="567"/>
      <c r="AF6" s="485" t="s">
        <v>382</v>
      </c>
      <c r="AG6" s="359">
        <f>G40</f>
        <v>0</v>
      </c>
      <c r="AI6" s="242" t="s">
        <v>334</v>
      </c>
      <c r="AJ6" s="372" t="str">
        <f>IF(ISTEXT(E10),E10,"")</f>
        <v/>
      </c>
    </row>
    <row r="7" spans="1:36" ht="12.95" customHeight="1" x14ac:dyDescent="0.3">
      <c r="AF7" s="485" t="s">
        <v>383</v>
      </c>
    </row>
    <row r="8" spans="1:36" ht="16.5" customHeight="1" x14ac:dyDescent="0.3">
      <c r="C8" s="568" t="s">
        <v>540</v>
      </c>
      <c r="D8" s="550"/>
      <c r="E8" s="551"/>
      <c r="F8" s="562"/>
      <c r="G8" s="563"/>
      <c r="H8" s="563"/>
      <c r="I8" s="563"/>
      <c r="J8" s="563"/>
      <c r="K8" s="563"/>
      <c r="L8" s="563"/>
      <c r="M8" s="563"/>
      <c r="N8" s="563"/>
      <c r="O8" s="563"/>
      <c r="P8" s="563"/>
      <c r="Q8" s="563"/>
      <c r="R8" s="563"/>
      <c r="S8" s="563"/>
      <c r="T8" s="563"/>
      <c r="U8" s="563"/>
      <c r="V8" s="563"/>
      <c r="W8" s="563"/>
      <c r="X8" s="563"/>
      <c r="Y8" s="563"/>
      <c r="Z8" s="563"/>
      <c r="AA8" s="563"/>
      <c r="AB8" s="563"/>
      <c r="AC8" s="564"/>
      <c r="AF8" s="485" t="s">
        <v>384</v>
      </c>
    </row>
    <row r="9" spans="1:36" ht="12.95" customHeight="1" x14ac:dyDescent="0.3">
      <c r="AF9" s="485" t="s">
        <v>385</v>
      </c>
    </row>
    <row r="10" spans="1:36" ht="17.25" customHeight="1" x14ac:dyDescent="0.3">
      <c r="C10" s="550" t="s">
        <v>334</v>
      </c>
      <c r="D10" s="551"/>
      <c r="E10" s="573"/>
      <c r="F10" s="574"/>
      <c r="G10" s="360"/>
      <c r="H10" s="280" t="s">
        <v>438</v>
      </c>
      <c r="I10" s="575"/>
      <c r="J10" s="576"/>
      <c r="K10" s="576"/>
      <c r="L10" s="576"/>
      <c r="M10" s="576"/>
      <c r="N10" s="576"/>
      <c r="O10" s="576"/>
      <c r="P10" s="576"/>
      <c r="Q10" s="576"/>
      <c r="R10" s="576"/>
      <c r="S10" s="576"/>
      <c r="T10" s="576"/>
      <c r="U10" s="577"/>
      <c r="W10" s="570" t="s">
        <v>566</v>
      </c>
      <c r="X10" s="571"/>
      <c r="Y10" s="571"/>
      <c r="Z10" s="571"/>
      <c r="AA10" s="572"/>
      <c r="AB10" s="420"/>
      <c r="AC10" s="361" t="s">
        <v>424</v>
      </c>
      <c r="AF10" s="485" t="s">
        <v>386</v>
      </c>
    </row>
    <row r="11" spans="1:36" ht="21" customHeight="1" thickBot="1" x14ac:dyDescent="0.35">
      <c r="D11" s="214"/>
      <c r="E11" s="214"/>
      <c r="F11" s="360"/>
      <c r="G11" s="360"/>
      <c r="H11" s="360"/>
      <c r="K11" s="251"/>
      <c r="L11" s="283"/>
      <c r="M11" s="283"/>
      <c r="N11" s="283"/>
      <c r="O11" s="283"/>
      <c r="P11" s="283"/>
      <c r="Q11" s="283"/>
      <c r="R11" s="283"/>
      <c r="S11" s="283"/>
      <c r="U11" s="283"/>
      <c r="W11" s="569" t="str">
        <f>IF(AB10&gt;50,"Los cálculos se realizarán para un máximo de 50 años.","")</f>
        <v/>
      </c>
      <c r="X11" s="569"/>
      <c r="Y11" s="569"/>
      <c r="Z11" s="569"/>
      <c r="AA11" s="569"/>
      <c r="AB11" s="569"/>
      <c r="AC11" s="569"/>
      <c r="AF11" s="485" t="s">
        <v>387</v>
      </c>
    </row>
    <row r="12" spans="1:36" ht="12" customHeight="1" x14ac:dyDescent="0.3">
      <c r="D12" s="455"/>
      <c r="E12" s="456"/>
      <c r="F12" s="457"/>
      <c r="G12" s="457"/>
      <c r="H12" s="457"/>
      <c r="I12" s="458"/>
      <c r="J12" s="458"/>
      <c r="K12" s="459"/>
      <c r="L12" s="460"/>
      <c r="M12" s="460"/>
      <c r="N12" s="460"/>
      <c r="O12" s="460"/>
      <c r="P12" s="460"/>
      <c r="Q12" s="460"/>
      <c r="R12" s="460"/>
      <c r="S12" s="449"/>
      <c r="U12" s="283"/>
      <c r="AF12" s="485" t="s">
        <v>388</v>
      </c>
    </row>
    <row r="13" spans="1:36" ht="16.5" customHeight="1" x14ac:dyDescent="0.3">
      <c r="D13" s="443"/>
      <c r="E13" s="444"/>
      <c r="F13" s="553" t="s">
        <v>542</v>
      </c>
      <c r="G13" s="552"/>
      <c r="H13" s="552"/>
      <c r="I13" s="444"/>
      <c r="J13" s="552" t="s">
        <v>524</v>
      </c>
      <c r="K13" s="552"/>
      <c r="L13" s="552"/>
      <c r="M13" s="552"/>
      <c r="N13" s="444"/>
      <c r="O13" s="553" t="s">
        <v>560</v>
      </c>
      <c r="P13" s="552"/>
      <c r="Q13" s="552"/>
      <c r="R13" s="552"/>
      <c r="S13" s="448"/>
      <c r="U13" s="589" t="s">
        <v>565</v>
      </c>
      <c r="V13" s="590"/>
      <c r="W13" s="590"/>
      <c r="X13" s="590"/>
      <c r="Y13" s="590"/>
      <c r="Z13" s="590"/>
      <c r="AA13" s="591"/>
      <c r="AB13" s="587"/>
      <c r="AC13" s="588"/>
      <c r="AF13" s="485" t="s">
        <v>389</v>
      </c>
    </row>
    <row r="14" spans="1:36" ht="9.75" customHeight="1" thickBot="1" x14ac:dyDescent="0.35">
      <c r="D14" s="443"/>
      <c r="E14" s="444"/>
      <c r="F14" s="444"/>
      <c r="G14" s="444"/>
      <c r="H14" s="444"/>
      <c r="I14" s="444"/>
      <c r="J14" s="444"/>
      <c r="K14" s="444"/>
      <c r="L14" s="444"/>
      <c r="M14" s="444"/>
      <c r="N14" s="444"/>
      <c r="O14" s="444"/>
      <c r="P14" s="444"/>
      <c r="Q14" s="444"/>
      <c r="R14" s="444"/>
      <c r="S14" s="448"/>
      <c r="AF14" s="485" t="s">
        <v>390</v>
      </c>
    </row>
    <row r="15" spans="1:36" ht="16.5" customHeight="1" x14ac:dyDescent="0.3">
      <c r="D15" s="443"/>
      <c r="E15" s="450" t="s">
        <v>434</v>
      </c>
      <c r="F15" s="592"/>
      <c r="G15" s="555"/>
      <c r="H15" s="556"/>
      <c r="I15" s="444"/>
      <c r="J15" s="444"/>
      <c r="K15" s="486"/>
      <c r="L15" s="361" t="s">
        <v>326</v>
      </c>
      <c r="M15" s="444"/>
      <c r="N15" s="444"/>
      <c r="O15" s="444"/>
      <c r="P15" s="487"/>
      <c r="Q15" s="361" t="s">
        <v>326</v>
      </c>
      <c r="R15" s="444"/>
      <c r="S15" s="448"/>
      <c r="U15" s="593" t="s">
        <v>587</v>
      </c>
      <c r="V15" s="594"/>
      <c r="W15" s="594"/>
      <c r="X15" s="594"/>
      <c r="Y15" s="594"/>
      <c r="Z15" s="594"/>
      <c r="AA15" s="594"/>
      <c r="AB15" s="594"/>
      <c r="AC15" s="595"/>
      <c r="AF15" s="485" t="s">
        <v>391</v>
      </c>
    </row>
    <row r="16" spans="1:36" ht="4.5" customHeight="1" x14ac:dyDescent="0.3">
      <c r="D16" s="443"/>
      <c r="E16" s="451"/>
      <c r="F16" s="444"/>
      <c r="G16" s="444"/>
      <c r="H16" s="444"/>
      <c r="I16" s="444"/>
      <c r="J16" s="444"/>
      <c r="K16" s="453"/>
      <c r="L16" s="444"/>
      <c r="M16" s="444"/>
      <c r="N16" s="444"/>
      <c r="O16" s="444"/>
      <c r="P16" s="454"/>
      <c r="Q16" s="444"/>
      <c r="R16" s="444"/>
      <c r="S16" s="448"/>
      <c r="U16" s="596"/>
      <c r="V16" s="597"/>
      <c r="W16" s="597"/>
      <c r="X16" s="597"/>
      <c r="Y16" s="597"/>
      <c r="Z16" s="597"/>
      <c r="AA16" s="597"/>
      <c r="AB16" s="597"/>
      <c r="AC16" s="598"/>
      <c r="AF16" s="485" t="s">
        <v>392</v>
      </c>
    </row>
    <row r="17" spans="1:32" x14ac:dyDescent="0.3">
      <c r="D17" s="443"/>
      <c r="E17" s="450" t="s">
        <v>435</v>
      </c>
      <c r="F17" s="554"/>
      <c r="G17" s="555"/>
      <c r="H17" s="556"/>
      <c r="I17" s="444"/>
      <c r="J17" s="444"/>
      <c r="K17" s="486"/>
      <c r="L17" s="361" t="s">
        <v>326</v>
      </c>
      <c r="M17" s="444"/>
      <c r="N17" s="444"/>
      <c r="O17" s="444"/>
      <c r="P17" s="487"/>
      <c r="Q17" s="361" t="s">
        <v>326</v>
      </c>
      <c r="R17" s="444"/>
      <c r="S17" s="448"/>
      <c r="U17" s="596"/>
      <c r="V17" s="597"/>
      <c r="W17" s="597"/>
      <c r="X17" s="597"/>
      <c r="Y17" s="597"/>
      <c r="Z17" s="597"/>
      <c r="AA17" s="597"/>
      <c r="AB17" s="597"/>
      <c r="AC17" s="598"/>
      <c r="AF17" s="485" t="s">
        <v>393</v>
      </c>
    </row>
    <row r="18" spans="1:32" ht="4.5" customHeight="1" x14ac:dyDescent="0.3">
      <c r="D18" s="443"/>
      <c r="E18" s="451"/>
      <c r="F18" s="444"/>
      <c r="G18" s="444"/>
      <c r="H18" s="444"/>
      <c r="I18" s="444"/>
      <c r="J18" s="444"/>
      <c r="K18" s="453"/>
      <c r="L18" s="444"/>
      <c r="M18" s="444"/>
      <c r="N18" s="444"/>
      <c r="O18" s="444"/>
      <c r="P18" s="454"/>
      <c r="Q18" s="444"/>
      <c r="R18" s="444"/>
      <c r="S18" s="448"/>
      <c r="U18" s="596"/>
      <c r="V18" s="597"/>
      <c r="W18" s="597"/>
      <c r="X18" s="597"/>
      <c r="Y18" s="597"/>
      <c r="Z18" s="597"/>
      <c r="AA18" s="597"/>
      <c r="AB18" s="597"/>
      <c r="AC18" s="598"/>
      <c r="AF18" s="485" t="s">
        <v>394</v>
      </c>
    </row>
    <row r="19" spans="1:32" x14ac:dyDescent="0.3">
      <c r="D19" s="443"/>
      <c r="E19" s="450" t="s">
        <v>436</v>
      </c>
      <c r="F19" s="554"/>
      <c r="G19" s="555"/>
      <c r="H19" s="556"/>
      <c r="I19" s="444"/>
      <c r="J19" s="444"/>
      <c r="K19" s="486"/>
      <c r="L19" s="361" t="s">
        <v>326</v>
      </c>
      <c r="M19" s="444"/>
      <c r="N19" s="444"/>
      <c r="O19" s="444"/>
      <c r="P19" s="487"/>
      <c r="Q19" s="361" t="s">
        <v>326</v>
      </c>
      <c r="R19" s="444"/>
      <c r="S19" s="448"/>
      <c r="U19" s="596"/>
      <c r="V19" s="597"/>
      <c r="W19" s="597"/>
      <c r="X19" s="597"/>
      <c r="Y19" s="597"/>
      <c r="Z19" s="597"/>
      <c r="AA19" s="597"/>
      <c r="AB19" s="597"/>
      <c r="AC19" s="598"/>
      <c r="AE19" s="472"/>
      <c r="AF19" s="485" t="s">
        <v>395</v>
      </c>
    </row>
    <row r="20" spans="1:32" ht="4.5" customHeight="1" x14ac:dyDescent="0.3">
      <c r="D20" s="443"/>
      <c r="E20" s="451"/>
      <c r="F20" s="444"/>
      <c r="G20" s="444"/>
      <c r="H20" s="444"/>
      <c r="I20" s="444"/>
      <c r="J20" s="444"/>
      <c r="K20" s="453"/>
      <c r="L20" s="444"/>
      <c r="M20" s="444"/>
      <c r="N20" s="444"/>
      <c r="O20" s="444"/>
      <c r="P20" s="454"/>
      <c r="Q20" s="444"/>
      <c r="R20" s="444"/>
      <c r="S20" s="448"/>
      <c r="U20" s="596"/>
      <c r="V20" s="597"/>
      <c r="W20" s="597"/>
      <c r="X20" s="597"/>
      <c r="Y20" s="597"/>
      <c r="Z20" s="597"/>
      <c r="AA20" s="597"/>
      <c r="AB20" s="597"/>
      <c r="AC20" s="598"/>
      <c r="AF20" s="485" t="s">
        <v>396</v>
      </c>
    </row>
    <row r="21" spans="1:32" x14ac:dyDescent="0.3">
      <c r="D21" s="443"/>
      <c r="E21" s="450" t="s">
        <v>437</v>
      </c>
      <c r="F21" s="554"/>
      <c r="G21" s="555"/>
      <c r="H21" s="556"/>
      <c r="I21" s="444"/>
      <c r="J21" s="444"/>
      <c r="K21" s="486"/>
      <c r="L21" s="361" t="s">
        <v>326</v>
      </c>
      <c r="M21" s="444"/>
      <c r="N21" s="444"/>
      <c r="O21" s="444"/>
      <c r="P21" s="487"/>
      <c r="Q21" s="361" t="s">
        <v>326</v>
      </c>
      <c r="R21" s="444"/>
      <c r="S21" s="448"/>
      <c r="U21" s="596"/>
      <c r="V21" s="597"/>
      <c r="W21" s="597"/>
      <c r="X21" s="597"/>
      <c r="Y21" s="597"/>
      <c r="Z21" s="597"/>
      <c r="AA21" s="597"/>
      <c r="AB21" s="597"/>
      <c r="AC21" s="598"/>
      <c r="AF21" s="485" t="s">
        <v>397</v>
      </c>
    </row>
    <row r="22" spans="1:32" ht="4.5" customHeight="1" x14ac:dyDescent="0.3">
      <c r="D22" s="443"/>
      <c r="E22" s="444"/>
      <c r="F22" s="444"/>
      <c r="G22" s="444"/>
      <c r="H22" s="444"/>
      <c r="I22" s="444"/>
      <c r="J22" s="444"/>
      <c r="K22" s="452"/>
      <c r="L22" s="444"/>
      <c r="M22" s="444"/>
      <c r="N22" s="444"/>
      <c r="O22" s="444"/>
      <c r="P22" s="454"/>
      <c r="Q22" s="444"/>
      <c r="R22" s="444"/>
      <c r="S22" s="448"/>
      <c r="U22" s="596"/>
      <c r="V22" s="597"/>
      <c r="W22" s="597"/>
      <c r="X22" s="597"/>
      <c r="Y22" s="597"/>
      <c r="Z22" s="597"/>
      <c r="AA22" s="597"/>
      <c r="AB22" s="597"/>
      <c r="AC22" s="598"/>
      <c r="AF22" s="485" t="s">
        <v>398</v>
      </c>
    </row>
    <row r="23" spans="1:32" ht="23.25" customHeight="1" x14ac:dyDescent="0.3">
      <c r="D23" s="443"/>
      <c r="E23" s="444"/>
      <c r="F23" s="444"/>
      <c r="G23" s="498"/>
      <c r="H23" s="498"/>
      <c r="I23" s="498"/>
      <c r="J23" s="498"/>
      <c r="K23" s="498"/>
      <c r="L23" s="498"/>
      <c r="M23" s="498"/>
      <c r="N23" s="498"/>
      <c r="O23" s="499" t="s">
        <v>439</v>
      </c>
      <c r="P23" s="500">
        <f>IF(ISNUMBER(SUM(P15+P17+P19+P21)),SUM(P15+P17+P19+P21),"")</f>
        <v>0</v>
      </c>
      <c r="Q23" s="501" t="s">
        <v>326</v>
      </c>
      <c r="R23" s="444"/>
      <c r="S23" s="448"/>
      <c r="U23" s="596"/>
      <c r="V23" s="597"/>
      <c r="W23" s="597"/>
      <c r="X23" s="597"/>
      <c r="Y23" s="597"/>
      <c r="Z23" s="597"/>
      <c r="AA23" s="597"/>
      <c r="AB23" s="597"/>
      <c r="AC23" s="598"/>
      <c r="AF23" s="485" t="s">
        <v>399</v>
      </c>
    </row>
    <row r="24" spans="1:32" ht="12" customHeight="1" thickBot="1" x14ac:dyDescent="0.35">
      <c r="D24" s="445"/>
      <c r="E24" s="446"/>
      <c r="F24" s="446"/>
      <c r="G24" s="446"/>
      <c r="H24" s="446"/>
      <c r="I24" s="446"/>
      <c r="J24" s="446"/>
      <c r="K24" s="446"/>
      <c r="L24" s="446"/>
      <c r="M24" s="446"/>
      <c r="N24" s="446"/>
      <c r="O24" s="446"/>
      <c r="P24" s="446"/>
      <c r="Q24" s="446"/>
      <c r="R24" s="446"/>
      <c r="S24" s="447"/>
      <c r="U24" s="599"/>
      <c r="V24" s="600"/>
      <c r="W24" s="600"/>
      <c r="X24" s="600"/>
      <c r="Y24" s="600"/>
      <c r="Z24" s="600"/>
      <c r="AA24" s="600"/>
      <c r="AB24" s="600"/>
      <c r="AC24" s="601"/>
      <c r="AF24" s="485" t="s">
        <v>400</v>
      </c>
    </row>
    <row r="25" spans="1:32" ht="9" customHeight="1" x14ac:dyDescent="0.3">
      <c r="A25" s="362"/>
      <c r="B25" s="362"/>
      <c r="C25" s="362"/>
      <c r="D25" s="362"/>
      <c r="E25" s="362"/>
      <c r="F25" s="362"/>
      <c r="G25" s="362"/>
      <c r="H25" s="362"/>
      <c r="I25" s="362"/>
      <c r="J25" s="362"/>
      <c r="K25" s="362"/>
      <c r="L25" s="362"/>
      <c r="M25" s="362"/>
      <c r="N25" s="362"/>
      <c r="O25" s="362"/>
      <c r="P25" s="362"/>
      <c r="Q25" s="362"/>
      <c r="R25" s="362"/>
      <c r="S25" s="362"/>
      <c r="T25" s="362"/>
      <c r="U25" s="362"/>
      <c r="V25" s="362"/>
      <c r="W25" s="362"/>
      <c r="X25" s="362"/>
      <c r="Y25" s="362"/>
      <c r="Z25" s="362"/>
      <c r="AA25" s="362"/>
      <c r="AB25" s="362"/>
      <c r="AC25" s="362"/>
      <c r="AD25" s="362"/>
      <c r="AE25" s="362"/>
      <c r="AF25" s="485" t="s">
        <v>401</v>
      </c>
    </row>
    <row r="26" spans="1:32" ht="16.5" customHeight="1" x14ac:dyDescent="0.3">
      <c r="A26" s="362"/>
      <c r="B26" s="362"/>
      <c r="C26" s="362"/>
      <c r="D26" s="578" t="s">
        <v>594</v>
      </c>
      <c r="E26" s="578"/>
      <c r="F26" s="578"/>
      <c r="G26" s="578"/>
      <c r="H26" s="578"/>
      <c r="I26" s="578"/>
      <c r="J26" s="578"/>
      <c r="K26" s="578"/>
      <c r="L26" s="578"/>
      <c r="M26" s="578"/>
      <c r="N26" s="578"/>
      <c r="O26" s="578"/>
      <c r="P26" s="578"/>
      <c r="Q26" s="578"/>
      <c r="R26" s="578"/>
      <c r="S26" s="578"/>
      <c r="T26" s="578"/>
      <c r="U26" s="578"/>
      <c r="V26" s="578"/>
      <c r="W26" s="578"/>
      <c r="X26" s="578"/>
      <c r="Y26" s="578"/>
      <c r="Z26" s="578"/>
      <c r="AA26" s="578"/>
      <c r="AB26" s="578"/>
      <c r="AC26" s="578"/>
      <c r="AD26" s="362"/>
      <c r="AE26" s="362"/>
      <c r="AF26" s="485" t="s">
        <v>571</v>
      </c>
    </row>
    <row r="27" spans="1:32" ht="33" customHeight="1" x14ac:dyDescent="0.3">
      <c r="A27" s="362"/>
      <c r="B27" s="362"/>
      <c r="C27" s="362"/>
      <c r="D27" s="578"/>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362"/>
      <c r="AE27" s="362"/>
      <c r="AF27" s="485" t="s">
        <v>572</v>
      </c>
    </row>
    <row r="28" spans="1:32" ht="6.75" customHeight="1" thickBot="1" x14ac:dyDescent="0.35">
      <c r="A28" s="362"/>
      <c r="B28" s="362"/>
      <c r="C28" s="362"/>
      <c r="D28" s="362"/>
      <c r="E28" s="362"/>
      <c r="F28" s="362"/>
      <c r="G28" s="362"/>
      <c r="H28" s="362"/>
      <c r="I28" s="362"/>
      <c r="J28" s="362"/>
      <c r="K28" s="362"/>
      <c r="L28" s="362"/>
      <c r="M28" s="362"/>
      <c r="N28" s="362"/>
      <c r="O28" s="362"/>
      <c r="P28" s="362"/>
      <c r="Q28" s="362"/>
      <c r="R28" s="362"/>
      <c r="S28" s="362"/>
      <c r="T28" s="362"/>
      <c r="U28" s="362"/>
      <c r="V28" s="362"/>
      <c r="W28" s="362"/>
      <c r="X28" s="362"/>
      <c r="Y28" s="362"/>
      <c r="Z28" s="362"/>
      <c r="AA28" s="362"/>
      <c r="AB28" s="362"/>
      <c r="AC28" s="362"/>
      <c r="AD28" s="362"/>
      <c r="AE28" s="362"/>
      <c r="AF28" s="485" t="s">
        <v>573</v>
      </c>
    </row>
    <row r="29" spans="1:32" ht="18" customHeight="1" x14ac:dyDescent="0.3">
      <c r="A29" s="362"/>
      <c r="B29" s="362"/>
      <c r="C29" s="362"/>
      <c r="D29" s="468"/>
      <c r="E29" s="469"/>
      <c r="F29" s="470"/>
      <c r="G29" s="469"/>
      <c r="H29" s="469"/>
      <c r="I29" s="467"/>
      <c r="J29" s="362"/>
      <c r="K29" s="604" t="s">
        <v>611</v>
      </c>
      <c r="L29" s="579" t="s">
        <v>583</v>
      </c>
      <c r="M29" s="579"/>
      <c r="N29" s="579"/>
      <c r="O29" s="579"/>
      <c r="P29" s="579"/>
      <c r="Q29" s="579"/>
      <c r="R29" s="579"/>
      <c r="S29" s="579"/>
      <c r="T29" s="579"/>
      <c r="U29" s="579"/>
      <c r="V29" s="579"/>
      <c r="W29" s="579"/>
      <c r="X29" s="579"/>
      <c r="Y29" s="579"/>
      <c r="Z29" s="579"/>
      <c r="AA29" s="579"/>
      <c r="AB29" s="579"/>
      <c r="AC29" s="580"/>
      <c r="AD29" s="362"/>
      <c r="AE29" s="362"/>
      <c r="AF29" s="485" t="s">
        <v>574</v>
      </c>
    </row>
    <row r="30" spans="1:32" x14ac:dyDescent="0.3">
      <c r="A30" s="362"/>
      <c r="B30" s="362"/>
      <c r="C30" s="362"/>
      <c r="D30" s="466"/>
      <c r="E30" s="553" t="s">
        <v>567</v>
      </c>
      <c r="F30" s="552"/>
      <c r="G30" s="552"/>
      <c r="H30" s="552"/>
      <c r="I30" s="462"/>
      <c r="J30" s="362"/>
      <c r="K30" s="605"/>
      <c r="L30" s="581"/>
      <c r="M30" s="581"/>
      <c r="N30" s="581"/>
      <c r="O30" s="581"/>
      <c r="P30" s="581"/>
      <c r="Q30" s="581"/>
      <c r="R30" s="581"/>
      <c r="S30" s="581"/>
      <c r="T30" s="581"/>
      <c r="U30" s="581"/>
      <c r="V30" s="581"/>
      <c r="W30" s="581"/>
      <c r="X30" s="581"/>
      <c r="Y30" s="581"/>
      <c r="Z30" s="581"/>
      <c r="AA30" s="581"/>
      <c r="AB30" s="581"/>
      <c r="AC30" s="582"/>
      <c r="AD30" s="362"/>
      <c r="AE30" s="362"/>
      <c r="AF30" s="485" t="s">
        <v>575</v>
      </c>
    </row>
    <row r="31" spans="1:32" ht="4.5" customHeight="1" x14ac:dyDescent="0.3">
      <c r="A31" s="362"/>
      <c r="B31" s="362"/>
      <c r="C31" s="362"/>
      <c r="D31" s="466"/>
      <c r="E31" s="444"/>
      <c r="F31" s="444"/>
      <c r="G31" s="444"/>
      <c r="H31" s="444"/>
      <c r="I31" s="462"/>
      <c r="J31" s="362"/>
      <c r="K31" s="605"/>
      <c r="L31" s="581"/>
      <c r="M31" s="581"/>
      <c r="N31" s="581"/>
      <c r="O31" s="581"/>
      <c r="P31" s="581"/>
      <c r="Q31" s="581"/>
      <c r="R31" s="581"/>
      <c r="S31" s="581"/>
      <c r="T31" s="581"/>
      <c r="U31" s="581"/>
      <c r="V31" s="581"/>
      <c r="W31" s="581"/>
      <c r="X31" s="581"/>
      <c r="Y31" s="581"/>
      <c r="Z31" s="581"/>
      <c r="AA31" s="581"/>
      <c r="AB31" s="581"/>
      <c r="AC31" s="582"/>
      <c r="AD31" s="362"/>
      <c r="AE31" s="362"/>
      <c r="AF31" s="485" t="s">
        <v>576</v>
      </c>
    </row>
    <row r="32" spans="1:32" x14ac:dyDescent="0.3">
      <c r="A32" s="362"/>
      <c r="B32" s="362"/>
      <c r="C32" s="362"/>
      <c r="D32" s="466"/>
      <c r="E32" s="585" t="s">
        <v>564</v>
      </c>
      <c r="F32" s="586"/>
      <c r="G32" s="471" t="str">
        <f>IF(ISNUMBER(AB13),AB13,"")</f>
        <v/>
      </c>
      <c r="H32" s="444"/>
      <c r="I32" s="462"/>
      <c r="J32" s="362"/>
      <c r="K32" s="605"/>
      <c r="L32" s="581"/>
      <c r="M32" s="581"/>
      <c r="N32" s="581"/>
      <c r="O32" s="581"/>
      <c r="P32" s="581"/>
      <c r="Q32" s="581"/>
      <c r="R32" s="581"/>
      <c r="S32" s="581"/>
      <c r="T32" s="581"/>
      <c r="U32" s="581"/>
      <c r="V32" s="581"/>
      <c r="W32" s="581"/>
      <c r="X32" s="581"/>
      <c r="Y32" s="581"/>
      <c r="Z32" s="581"/>
      <c r="AA32" s="581"/>
      <c r="AB32" s="581"/>
      <c r="AC32" s="582"/>
      <c r="AD32" s="362"/>
      <c r="AE32" s="362"/>
      <c r="AF32" s="485" t="s">
        <v>402</v>
      </c>
    </row>
    <row r="33" spans="1:32" ht="4.5" customHeight="1" x14ac:dyDescent="0.3">
      <c r="A33" s="362"/>
      <c r="B33" s="362"/>
      <c r="C33" s="362"/>
      <c r="D33" s="466"/>
      <c r="E33" s="444"/>
      <c r="F33" s="451"/>
      <c r="G33" s="444"/>
      <c r="H33" s="444"/>
      <c r="I33" s="462"/>
      <c r="J33" s="362"/>
      <c r="K33" s="434"/>
      <c r="L33" s="502"/>
      <c r="M33" s="502"/>
      <c r="N33" s="502"/>
      <c r="O33" s="502"/>
      <c r="P33" s="502"/>
      <c r="Q33" s="503"/>
      <c r="R33" s="503"/>
      <c r="S33" s="503"/>
      <c r="T33" s="503"/>
      <c r="U33" s="503"/>
      <c r="V33" s="503"/>
      <c r="W33" s="503"/>
      <c r="X33" s="502"/>
      <c r="Y33" s="502"/>
      <c r="Z33" s="502"/>
      <c r="AA33" s="502"/>
      <c r="AB33" s="502"/>
      <c r="AC33" s="504"/>
      <c r="AD33" s="362"/>
      <c r="AE33" s="362"/>
      <c r="AF33" s="485" t="s">
        <v>403</v>
      </c>
    </row>
    <row r="34" spans="1:32" ht="16.5" customHeight="1" x14ac:dyDescent="0.3">
      <c r="A34" s="362"/>
      <c r="B34" s="362"/>
      <c r="C34" s="362"/>
      <c r="D34" s="466"/>
      <c r="E34" s="444"/>
      <c r="F34" s="461" t="s">
        <v>430</v>
      </c>
      <c r="G34" s="488"/>
      <c r="H34" s="444"/>
      <c r="I34" s="462"/>
      <c r="J34" s="362"/>
      <c r="K34" s="606">
        <v>2</v>
      </c>
      <c r="L34" s="583" t="s">
        <v>459</v>
      </c>
      <c r="M34" s="583"/>
      <c r="N34" s="583"/>
      <c r="O34" s="583"/>
      <c r="P34" s="583"/>
      <c r="Q34" s="583"/>
      <c r="R34" s="583"/>
      <c r="S34" s="583"/>
      <c r="T34" s="583"/>
      <c r="U34" s="583"/>
      <c r="V34" s="583"/>
      <c r="W34" s="583"/>
      <c r="X34" s="583"/>
      <c r="Y34" s="583"/>
      <c r="Z34" s="583"/>
      <c r="AA34" s="583"/>
      <c r="AB34" s="583"/>
      <c r="AC34" s="584"/>
      <c r="AD34" s="362"/>
      <c r="AE34" s="362"/>
      <c r="AF34" s="485" t="s">
        <v>404</v>
      </c>
    </row>
    <row r="35" spans="1:32" ht="4.5" customHeight="1" x14ac:dyDescent="0.3">
      <c r="A35" s="362"/>
      <c r="B35" s="362"/>
      <c r="C35" s="362"/>
      <c r="D35" s="466"/>
      <c r="E35" s="444"/>
      <c r="F35" s="451"/>
      <c r="G35" s="444"/>
      <c r="H35" s="444"/>
      <c r="I35" s="462"/>
      <c r="J35" s="362"/>
      <c r="K35" s="606"/>
      <c r="L35" s="583"/>
      <c r="M35" s="583"/>
      <c r="N35" s="583"/>
      <c r="O35" s="583"/>
      <c r="P35" s="583"/>
      <c r="Q35" s="583"/>
      <c r="R35" s="583"/>
      <c r="S35" s="583"/>
      <c r="T35" s="583"/>
      <c r="U35" s="583"/>
      <c r="V35" s="583"/>
      <c r="W35" s="583"/>
      <c r="X35" s="583"/>
      <c r="Y35" s="583"/>
      <c r="Z35" s="583"/>
      <c r="AA35" s="583"/>
      <c r="AB35" s="583"/>
      <c r="AC35" s="584"/>
      <c r="AD35" s="362"/>
      <c r="AE35" s="362"/>
      <c r="AF35" s="485" t="s">
        <v>405</v>
      </c>
    </row>
    <row r="36" spans="1:32" x14ac:dyDescent="0.3">
      <c r="A36" s="362"/>
      <c r="B36" s="362"/>
      <c r="C36" s="362"/>
      <c r="D36" s="466"/>
      <c r="E36" s="444"/>
      <c r="F36" s="461" t="s">
        <v>431</v>
      </c>
      <c r="G36" s="488"/>
      <c r="H36" s="444"/>
      <c r="I36" s="462"/>
      <c r="J36" s="362"/>
      <c r="K36" s="606"/>
      <c r="L36" s="583"/>
      <c r="M36" s="583"/>
      <c r="N36" s="583"/>
      <c r="O36" s="583"/>
      <c r="P36" s="583"/>
      <c r="Q36" s="583"/>
      <c r="R36" s="583"/>
      <c r="S36" s="583"/>
      <c r="T36" s="583"/>
      <c r="U36" s="583"/>
      <c r="V36" s="583"/>
      <c r="W36" s="583"/>
      <c r="X36" s="583"/>
      <c r="Y36" s="583"/>
      <c r="Z36" s="583"/>
      <c r="AA36" s="583"/>
      <c r="AB36" s="583"/>
      <c r="AC36" s="584"/>
      <c r="AD36" s="362"/>
      <c r="AE36" s="362"/>
      <c r="AF36" s="485" t="s">
        <v>406</v>
      </c>
    </row>
    <row r="37" spans="1:32" ht="4.5" customHeight="1" x14ac:dyDescent="0.3">
      <c r="A37" s="362"/>
      <c r="B37" s="362"/>
      <c r="C37" s="362"/>
      <c r="D37" s="466"/>
      <c r="E37" s="444"/>
      <c r="F37" s="451"/>
      <c r="G37" s="444"/>
      <c r="H37" s="444"/>
      <c r="I37" s="462"/>
      <c r="J37" s="362"/>
      <c r="K37" s="606">
        <v>3</v>
      </c>
      <c r="L37" s="607" t="s">
        <v>537</v>
      </c>
      <c r="M37" s="607"/>
      <c r="N37" s="607"/>
      <c r="O37" s="607"/>
      <c r="P37" s="607"/>
      <c r="Q37" s="607"/>
      <c r="R37" s="607"/>
      <c r="S37" s="607"/>
      <c r="T37" s="607"/>
      <c r="U37" s="607"/>
      <c r="V37" s="607"/>
      <c r="W37" s="607"/>
      <c r="X37" s="607"/>
      <c r="Y37" s="607"/>
      <c r="Z37" s="607"/>
      <c r="AA37" s="607"/>
      <c r="AB37" s="607"/>
      <c r="AC37" s="608"/>
      <c r="AD37" s="362"/>
      <c r="AE37" s="362"/>
      <c r="AF37" s="485" t="s">
        <v>407</v>
      </c>
    </row>
    <row r="38" spans="1:32" x14ac:dyDescent="0.3">
      <c r="A38" s="362"/>
      <c r="B38" s="362"/>
      <c r="C38" s="362"/>
      <c r="D38" s="466"/>
      <c r="E38" s="444"/>
      <c r="F38" s="461" t="s">
        <v>432</v>
      </c>
      <c r="G38" s="488"/>
      <c r="H38" s="444"/>
      <c r="I38" s="462"/>
      <c r="J38" s="362"/>
      <c r="K38" s="606"/>
      <c r="L38" s="607"/>
      <c r="M38" s="607"/>
      <c r="N38" s="607"/>
      <c r="O38" s="607"/>
      <c r="P38" s="607"/>
      <c r="Q38" s="607"/>
      <c r="R38" s="607"/>
      <c r="S38" s="607"/>
      <c r="T38" s="607"/>
      <c r="U38" s="607"/>
      <c r="V38" s="607"/>
      <c r="W38" s="607"/>
      <c r="X38" s="607"/>
      <c r="Y38" s="607"/>
      <c r="Z38" s="607"/>
      <c r="AA38" s="607"/>
      <c r="AB38" s="607"/>
      <c r="AC38" s="608"/>
      <c r="AD38" s="362"/>
      <c r="AE38" s="362"/>
      <c r="AF38" s="485" t="s">
        <v>408</v>
      </c>
    </row>
    <row r="39" spans="1:32" ht="4.5" customHeight="1" x14ac:dyDescent="0.3">
      <c r="A39" s="362"/>
      <c r="B39" s="362"/>
      <c r="C39" s="362"/>
      <c r="D39" s="466"/>
      <c r="E39" s="444"/>
      <c r="F39" s="451"/>
      <c r="G39" s="444"/>
      <c r="H39" s="444"/>
      <c r="I39" s="462"/>
      <c r="J39" s="362"/>
      <c r="K39" s="606">
        <v>4</v>
      </c>
      <c r="L39" s="607" t="s">
        <v>525</v>
      </c>
      <c r="M39" s="607"/>
      <c r="N39" s="607"/>
      <c r="O39" s="607"/>
      <c r="P39" s="607"/>
      <c r="Q39" s="607"/>
      <c r="R39" s="607"/>
      <c r="S39" s="607"/>
      <c r="T39" s="607"/>
      <c r="U39" s="607"/>
      <c r="V39" s="607"/>
      <c r="W39" s="607"/>
      <c r="X39" s="607"/>
      <c r="Y39" s="607"/>
      <c r="Z39" s="607"/>
      <c r="AA39" s="607"/>
      <c r="AB39" s="607"/>
      <c r="AC39" s="608"/>
      <c r="AD39" s="362"/>
      <c r="AE39" s="362"/>
      <c r="AF39" s="485" t="s">
        <v>409</v>
      </c>
    </row>
    <row r="40" spans="1:32" x14ac:dyDescent="0.3">
      <c r="A40" s="362"/>
      <c r="B40" s="362"/>
      <c r="C40" s="362"/>
      <c r="D40" s="466"/>
      <c r="E40" s="444"/>
      <c r="F40" s="461" t="s">
        <v>433</v>
      </c>
      <c r="G40" s="488"/>
      <c r="H40" s="444"/>
      <c r="I40" s="462"/>
      <c r="J40" s="362"/>
      <c r="K40" s="606"/>
      <c r="L40" s="607"/>
      <c r="M40" s="607"/>
      <c r="N40" s="607"/>
      <c r="O40" s="607"/>
      <c r="P40" s="607"/>
      <c r="Q40" s="607"/>
      <c r="R40" s="607"/>
      <c r="S40" s="607"/>
      <c r="T40" s="607"/>
      <c r="U40" s="607"/>
      <c r="V40" s="607"/>
      <c r="W40" s="607"/>
      <c r="X40" s="607"/>
      <c r="Y40" s="607"/>
      <c r="Z40" s="607"/>
      <c r="AA40" s="607"/>
      <c r="AB40" s="607"/>
      <c r="AC40" s="608"/>
      <c r="AD40" s="362"/>
      <c r="AE40" s="362"/>
      <c r="AF40" s="485" t="s">
        <v>410</v>
      </c>
    </row>
    <row r="41" spans="1:32" ht="20.25" customHeight="1" thickBot="1" x14ac:dyDescent="0.35">
      <c r="A41" s="362"/>
      <c r="B41" s="362"/>
      <c r="C41" s="362"/>
      <c r="D41" s="465"/>
      <c r="E41" s="463"/>
      <c r="F41" s="463"/>
      <c r="G41" s="463"/>
      <c r="H41" s="463"/>
      <c r="I41" s="464"/>
      <c r="J41" s="362"/>
      <c r="K41" s="435">
        <v>5</v>
      </c>
      <c r="L41" s="602" t="s">
        <v>577</v>
      </c>
      <c r="M41" s="602"/>
      <c r="N41" s="602"/>
      <c r="O41" s="602"/>
      <c r="P41" s="602"/>
      <c r="Q41" s="602"/>
      <c r="R41" s="602"/>
      <c r="S41" s="602"/>
      <c r="T41" s="602"/>
      <c r="U41" s="602"/>
      <c r="V41" s="602"/>
      <c r="W41" s="602"/>
      <c r="X41" s="602"/>
      <c r="Y41" s="602"/>
      <c r="Z41" s="602"/>
      <c r="AA41" s="602"/>
      <c r="AB41" s="602"/>
      <c r="AC41" s="603"/>
      <c r="AD41" s="362"/>
      <c r="AE41" s="362"/>
      <c r="AF41" s="485" t="s">
        <v>411</v>
      </c>
    </row>
    <row r="42" spans="1:32" x14ac:dyDescent="0.3">
      <c r="A42" s="362"/>
      <c r="B42" s="362"/>
      <c r="C42" s="362"/>
      <c r="D42" s="362"/>
      <c r="E42" s="362"/>
      <c r="F42" s="362"/>
      <c r="G42" s="362"/>
      <c r="H42" s="362"/>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2"/>
      <c r="AF42" s="485" t="s">
        <v>412</v>
      </c>
    </row>
    <row r="43" spans="1:32" ht="18.75" customHeight="1" x14ac:dyDescent="0.3">
      <c r="A43" s="362"/>
      <c r="B43" s="362"/>
      <c r="C43" s="362"/>
      <c r="D43" s="362"/>
      <c r="E43" s="362"/>
      <c r="F43" s="362"/>
      <c r="G43" s="362"/>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485" t="s">
        <v>413</v>
      </c>
    </row>
    <row r="44" spans="1:32" ht="16.5" customHeight="1" x14ac:dyDescent="0.3">
      <c r="A44" s="362"/>
      <c r="B44" s="362"/>
      <c r="C44" s="362"/>
      <c r="D44" s="362"/>
      <c r="E44" s="362"/>
      <c r="F44" s="362"/>
      <c r="G44" s="362"/>
      <c r="H44" s="362"/>
      <c r="I44" s="362"/>
      <c r="J44" s="362"/>
      <c r="K44" s="362"/>
      <c r="L44" s="362"/>
      <c r="M44" s="362"/>
      <c r="N44" s="362"/>
      <c r="O44" s="362"/>
      <c r="P44" s="362"/>
      <c r="Q44" s="362"/>
      <c r="R44" s="362"/>
      <c r="S44" s="362"/>
      <c r="T44" s="362"/>
      <c r="U44" s="362"/>
      <c r="V44" s="362"/>
      <c r="W44" s="362"/>
      <c r="X44" s="362"/>
      <c r="Y44" s="362"/>
      <c r="Z44" s="362"/>
      <c r="AA44" s="362"/>
      <c r="AB44" s="362"/>
      <c r="AC44" s="362"/>
      <c r="AD44" s="362"/>
      <c r="AE44" s="362"/>
      <c r="AF44" s="485" t="s">
        <v>414</v>
      </c>
    </row>
    <row r="45" spans="1:32" x14ac:dyDescent="0.3">
      <c r="A45" s="362"/>
      <c r="B45" s="362"/>
      <c r="C45" s="362"/>
      <c r="D45" s="362"/>
      <c r="E45" s="362"/>
      <c r="F45" s="362"/>
      <c r="G45" s="362"/>
      <c r="H45" s="362"/>
      <c r="I45" s="362"/>
      <c r="J45" s="362"/>
      <c r="K45" s="362"/>
      <c r="L45" s="362"/>
      <c r="M45" s="362"/>
      <c r="N45" s="362"/>
      <c r="O45" s="362"/>
      <c r="P45" s="362"/>
      <c r="Q45" s="362"/>
      <c r="R45" s="362"/>
      <c r="S45" s="362"/>
      <c r="T45" s="362"/>
      <c r="U45" s="362"/>
      <c r="V45" s="362"/>
      <c r="W45" s="362"/>
      <c r="X45" s="362"/>
      <c r="Y45" s="362"/>
      <c r="Z45" s="362"/>
      <c r="AA45" s="362"/>
      <c r="AB45" s="362"/>
      <c r="AC45" s="362"/>
      <c r="AD45" s="362"/>
      <c r="AE45" s="362"/>
      <c r="AF45" s="485" t="s">
        <v>415</v>
      </c>
    </row>
    <row r="46" spans="1:32" x14ac:dyDescent="0.3">
      <c r="A46" s="362"/>
      <c r="B46" s="362"/>
      <c r="C46" s="362"/>
      <c r="D46" s="362"/>
      <c r="E46" s="362"/>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485" t="s">
        <v>416</v>
      </c>
    </row>
    <row r="47" spans="1:32" x14ac:dyDescent="0.3">
      <c r="A47" s="362"/>
      <c r="B47" s="362"/>
      <c r="C47" s="362"/>
      <c r="D47" s="362"/>
      <c r="E47" s="362"/>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485" t="s">
        <v>417</v>
      </c>
    </row>
    <row r="48" spans="1:32" x14ac:dyDescent="0.3">
      <c r="A48" s="362"/>
      <c r="B48" s="362"/>
      <c r="C48" s="362"/>
      <c r="D48" s="362"/>
      <c r="E48" s="362"/>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485" t="s">
        <v>558</v>
      </c>
    </row>
    <row r="49" spans="1:32" ht="18" customHeight="1" x14ac:dyDescent="0.3">
      <c r="A49" s="362"/>
      <c r="B49" s="362"/>
      <c r="C49" s="362"/>
      <c r="D49" s="362"/>
      <c r="E49" s="362"/>
      <c r="F49" s="362"/>
      <c r="G49" s="362"/>
      <c r="H49" s="362"/>
      <c r="I49" s="362"/>
      <c r="J49" s="362"/>
      <c r="K49" s="362"/>
      <c r="L49" s="362"/>
      <c r="M49" s="362"/>
      <c r="N49" s="362"/>
      <c r="O49" s="362"/>
      <c r="P49" s="362"/>
      <c r="Q49" s="362"/>
      <c r="R49" s="362"/>
      <c r="S49" s="362"/>
      <c r="T49" s="362"/>
      <c r="U49" s="362"/>
      <c r="V49" s="362"/>
      <c r="W49" s="362"/>
      <c r="X49" s="362"/>
      <c r="Y49" s="362"/>
      <c r="Z49" s="362"/>
      <c r="AA49" s="362"/>
      <c r="AB49" s="362"/>
      <c r="AC49" s="362"/>
      <c r="AD49" s="362"/>
      <c r="AE49" s="362"/>
      <c r="AF49" s="485" t="s">
        <v>418</v>
      </c>
    </row>
    <row r="50" spans="1:32" x14ac:dyDescent="0.3">
      <c r="A50" s="362"/>
      <c r="B50" s="362"/>
      <c r="C50" s="362"/>
      <c r="D50" s="362"/>
      <c r="E50" s="362"/>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485" t="s">
        <v>419</v>
      </c>
    </row>
    <row r="51" spans="1:32" ht="16.5" customHeight="1" x14ac:dyDescent="0.3">
      <c r="A51" s="362"/>
      <c r="B51" s="362"/>
      <c r="C51" s="362"/>
      <c r="D51" s="362"/>
      <c r="E51" s="362"/>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485" t="s">
        <v>420</v>
      </c>
    </row>
    <row r="52" spans="1:32" x14ac:dyDescent="0.3">
      <c r="A52" s="362"/>
      <c r="B52" s="362"/>
      <c r="C52" s="362"/>
      <c r="D52" s="362"/>
      <c r="E52" s="362"/>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485" t="s">
        <v>421</v>
      </c>
    </row>
    <row r="53" spans="1:32" ht="21" customHeight="1" x14ac:dyDescent="0.3">
      <c r="A53" s="362"/>
      <c r="B53" s="362"/>
      <c r="C53" s="362"/>
      <c r="D53" s="362"/>
      <c r="E53" s="362"/>
      <c r="F53" s="362"/>
      <c r="G53" s="362"/>
      <c r="H53" s="362"/>
      <c r="I53" s="362"/>
      <c r="J53" s="362"/>
      <c r="K53" s="362"/>
      <c r="L53" s="362"/>
      <c r="M53" s="362"/>
      <c r="N53" s="362"/>
      <c r="O53" s="362"/>
      <c r="P53" s="362"/>
      <c r="Q53" s="362"/>
      <c r="R53" s="362"/>
      <c r="S53" s="362"/>
      <c r="T53" s="362"/>
      <c r="U53" s="362"/>
      <c r="V53" s="362"/>
      <c r="W53" s="362"/>
      <c r="X53" s="362"/>
      <c r="Y53" s="362"/>
      <c r="Z53" s="362"/>
      <c r="AA53" s="362"/>
      <c r="AB53" s="362"/>
      <c r="AC53" s="362"/>
      <c r="AD53" s="362"/>
      <c r="AE53" s="362"/>
      <c r="AF53" s="485" t="s">
        <v>422</v>
      </c>
    </row>
    <row r="54" spans="1:32" x14ac:dyDescent="0.3">
      <c r="A54" s="362"/>
      <c r="B54" s="362"/>
      <c r="C54" s="362"/>
      <c r="D54" s="362"/>
      <c r="E54" s="362"/>
      <c r="F54" s="362"/>
      <c r="G54" s="362"/>
      <c r="H54" s="362"/>
      <c r="I54" s="362"/>
      <c r="J54" s="362"/>
      <c r="K54" s="362"/>
      <c r="L54" s="362"/>
      <c r="M54" s="362"/>
      <c r="N54" s="362"/>
      <c r="O54" s="362"/>
      <c r="P54" s="362"/>
      <c r="Q54" s="362"/>
      <c r="R54" s="362"/>
      <c r="S54" s="362"/>
      <c r="T54" s="362"/>
      <c r="U54" s="362"/>
      <c r="V54" s="362"/>
      <c r="W54" s="362"/>
      <c r="X54" s="362"/>
      <c r="Y54" s="362"/>
      <c r="Z54" s="362"/>
      <c r="AA54" s="362"/>
      <c r="AB54" s="362"/>
      <c r="AC54" s="362"/>
      <c r="AD54" s="362"/>
      <c r="AE54" s="362"/>
    </row>
    <row r="55" spans="1:32" x14ac:dyDescent="0.3">
      <c r="A55" s="362"/>
      <c r="B55" s="362"/>
      <c r="C55" s="362"/>
      <c r="D55" s="362"/>
      <c r="E55" s="362"/>
      <c r="F55" s="362"/>
      <c r="G55" s="362"/>
      <c r="H55" s="362"/>
      <c r="I55" s="362"/>
      <c r="J55" s="362"/>
      <c r="K55" s="362"/>
      <c r="L55" s="362"/>
      <c r="M55" s="362"/>
      <c r="N55" s="362"/>
      <c r="O55" s="362"/>
      <c r="P55" s="362"/>
      <c r="Q55" s="362"/>
      <c r="R55" s="362"/>
      <c r="S55" s="362"/>
      <c r="T55" s="362"/>
      <c r="U55" s="362"/>
      <c r="V55" s="362"/>
      <c r="W55" s="362"/>
      <c r="X55" s="362"/>
      <c r="Y55" s="362"/>
      <c r="Z55" s="362"/>
      <c r="AA55" s="362"/>
      <c r="AB55" s="362"/>
      <c r="AC55" s="362"/>
      <c r="AD55" s="362"/>
      <c r="AE55" s="362"/>
    </row>
    <row r="56" spans="1:32" x14ac:dyDescent="0.3">
      <c r="A56" s="362"/>
      <c r="B56" s="362"/>
      <c r="C56" s="362"/>
      <c r="D56" s="362"/>
      <c r="E56" s="362"/>
      <c r="F56" s="362"/>
      <c r="G56" s="362"/>
      <c r="H56" s="362"/>
      <c r="I56" s="362"/>
      <c r="J56" s="362"/>
      <c r="K56" s="362"/>
      <c r="L56" s="362"/>
      <c r="M56" s="362"/>
      <c r="N56" s="362"/>
      <c r="O56" s="362"/>
      <c r="P56" s="362"/>
      <c r="Q56" s="362"/>
      <c r="R56" s="362"/>
      <c r="S56" s="362"/>
      <c r="T56" s="362"/>
      <c r="U56" s="362"/>
      <c r="V56" s="362"/>
      <c r="W56" s="362"/>
      <c r="X56" s="362"/>
      <c r="Y56" s="362"/>
      <c r="Z56" s="362"/>
      <c r="AA56" s="362"/>
      <c r="AB56" s="362"/>
      <c r="AC56" s="362"/>
      <c r="AD56" s="362"/>
      <c r="AE56" s="362"/>
    </row>
    <row r="57" spans="1:32" x14ac:dyDescent="0.3">
      <c r="A57" s="362"/>
      <c r="B57" s="362"/>
      <c r="C57" s="362"/>
      <c r="D57" s="362"/>
      <c r="E57" s="362"/>
      <c r="F57" s="362"/>
      <c r="G57" s="362"/>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row>
    <row r="58" spans="1:32" x14ac:dyDescent="0.3">
      <c r="A58" s="362"/>
      <c r="B58" s="362"/>
      <c r="C58" s="362"/>
      <c r="D58" s="362"/>
      <c r="E58" s="362"/>
      <c r="F58" s="362"/>
      <c r="G58" s="362"/>
      <c r="H58" s="362"/>
      <c r="I58" s="362"/>
      <c r="J58" s="362"/>
      <c r="K58" s="362"/>
      <c r="L58" s="362"/>
      <c r="M58" s="362"/>
      <c r="N58" s="362"/>
      <c r="O58" s="362"/>
      <c r="P58" s="362"/>
      <c r="Q58" s="362"/>
      <c r="R58" s="362"/>
      <c r="S58" s="362"/>
      <c r="T58" s="362"/>
      <c r="U58" s="362"/>
      <c r="V58" s="362"/>
      <c r="W58" s="362"/>
      <c r="X58" s="362"/>
      <c r="Y58" s="362"/>
      <c r="Z58" s="362"/>
      <c r="AA58" s="362"/>
      <c r="AB58" s="362"/>
      <c r="AC58" s="362"/>
      <c r="AD58" s="362"/>
      <c r="AE58" s="362"/>
    </row>
    <row r="59" spans="1:32" x14ac:dyDescent="0.3">
      <c r="A59" s="362"/>
      <c r="B59" s="362"/>
      <c r="C59" s="362"/>
      <c r="D59" s="362"/>
      <c r="E59" s="362"/>
      <c r="F59" s="362"/>
      <c r="G59" s="362"/>
      <c r="H59" s="362"/>
      <c r="I59" s="362"/>
      <c r="J59" s="362"/>
      <c r="K59" s="362"/>
      <c r="L59" s="362"/>
      <c r="M59" s="362"/>
      <c r="N59" s="362"/>
      <c r="O59" s="362"/>
      <c r="P59" s="362"/>
      <c r="Q59" s="362"/>
      <c r="R59" s="362"/>
      <c r="S59" s="362"/>
      <c r="T59" s="362"/>
      <c r="U59" s="362"/>
      <c r="V59" s="362"/>
      <c r="W59" s="362"/>
      <c r="X59" s="362"/>
      <c r="Y59" s="362"/>
      <c r="Z59" s="362"/>
      <c r="AA59" s="362"/>
      <c r="AB59" s="362"/>
      <c r="AC59" s="362"/>
      <c r="AD59" s="362"/>
      <c r="AE59" s="362"/>
    </row>
    <row r="60" spans="1:32" ht="18" customHeight="1" x14ac:dyDescent="0.3">
      <c r="A60" s="362"/>
      <c r="B60" s="362"/>
      <c r="C60" s="362"/>
      <c r="D60" s="362"/>
      <c r="E60" s="362"/>
      <c r="F60" s="362"/>
      <c r="G60" s="362"/>
      <c r="H60" s="362"/>
      <c r="I60" s="362"/>
      <c r="J60" s="362"/>
      <c r="K60" s="362"/>
      <c r="L60" s="362"/>
      <c r="M60" s="362"/>
      <c r="N60" s="362"/>
      <c r="O60" s="362"/>
      <c r="P60" s="362"/>
      <c r="Q60" s="362"/>
      <c r="R60" s="362"/>
      <c r="S60" s="362"/>
      <c r="T60" s="362"/>
      <c r="U60" s="362"/>
      <c r="V60" s="362"/>
      <c r="W60" s="362"/>
      <c r="X60" s="362"/>
      <c r="Y60" s="362"/>
      <c r="Z60" s="362"/>
      <c r="AA60" s="362"/>
      <c r="AB60" s="362"/>
      <c r="AC60" s="362"/>
      <c r="AD60" s="362"/>
      <c r="AE60" s="362"/>
    </row>
    <row r="61" spans="1:32" x14ac:dyDescent="0.3">
      <c r="A61" s="362"/>
      <c r="B61" s="362"/>
      <c r="C61" s="362"/>
      <c r="D61" s="362"/>
      <c r="E61" s="362"/>
      <c r="F61" s="362"/>
      <c r="G61" s="362"/>
      <c r="H61" s="362"/>
      <c r="I61" s="362"/>
      <c r="J61" s="362"/>
      <c r="K61" s="362"/>
      <c r="L61" s="362"/>
      <c r="M61" s="362"/>
      <c r="N61" s="362"/>
      <c r="O61" s="362"/>
      <c r="P61" s="362"/>
      <c r="Q61" s="362"/>
      <c r="R61" s="362"/>
      <c r="S61" s="362"/>
      <c r="T61" s="362"/>
      <c r="U61" s="362"/>
      <c r="V61" s="362"/>
      <c r="W61" s="362"/>
      <c r="X61" s="362"/>
      <c r="Y61" s="362"/>
      <c r="Z61" s="362"/>
      <c r="AA61" s="362"/>
      <c r="AB61" s="362"/>
      <c r="AC61" s="362"/>
      <c r="AD61" s="362"/>
      <c r="AE61" s="362"/>
    </row>
    <row r="62" spans="1:32" x14ac:dyDescent="0.3">
      <c r="B62" s="362"/>
      <c r="C62" s="362"/>
      <c r="D62" s="362"/>
      <c r="E62" s="362"/>
      <c r="F62" s="362"/>
      <c r="G62" s="362"/>
      <c r="H62" s="362"/>
      <c r="I62" s="362"/>
      <c r="J62" s="362"/>
      <c r="K62" s="362"/>
      <c r="L62" s="362"/>
      <c r="M62" s="362"/>
      <c r="N62" s="362"/>
      <c r="O62" s="362"/>
      <c r="P62" s="362"/>
      <c r="Q62" s="362"/>
      <c r="R62" s="362"/>
      <c r="S62" s="362"/>
      <c r="T62" s="362"/>
      <c r="U62" s="362"/>
      <c r="V62" s="362"/>
      <c r="W62" s="362"/>
      <c r="X62" s="362"/>
      <c r="Y62" s="362"/>
      <c r="Z62" s="362"/>
      <c r="AA62" s="362"/>
      <c r="AB62" s="362"/>
      <c r="AC62" s="362"/>
    </row>
    <row r="63" spans="1:32" x14ac:dyDescent="0.3">
      <c r="B63" s="362"/>
      <c r="C63" s="362"/>
      <c r="D63" s="362"/>
      <c r="E63" s="362"/>
      <c r="F63" s="362"/>
      <c r="G63" s="362"/>
      <c r="H63" s="362"/>
      <c r="I63" s="362"/>
      <c r="J63" s="362"/>
      <c r="K63" s="362"/>
      <c r="L63" s="362"/>
      <c r="M63" s="362"/>
      <c r="N63" s="362"/>
      <c r="O63" s="362"/>
      <c r="P63" s="362"/>
      <c r="Q63" s="362"/>
      <c r="R63" s="362"/>
      <c r="S63" s="362"/>
      <c r="T63" s="362"/>
      <c r="U63" s="362"/>
      <c r="V63" s="362"/>
      <c r="W63" s="362"/>
      <c r="X63" s="362"/>
      <c r="Y63" s="362"/>
      <c r="Z63" s="362"/>
      <c r="AA63" s="362"/>
      <c r="AB63" s="362"/>
      <c r="AC63" s="362"/>
    </row>
    <row r="64" spans="1:32" x14ac:dyDescent="0.3">
      <c r="B64" s="362"/>
      <c r="C64" s="362"/>
      <c r="D64" s="362"/>
      <c r="E64" s="362"/>
      <c r="F64" s="362"/>
      <c r="G64" s="362"/>
      <c r="H64" s="362"/>
      <c r="I64" s="362"/>
      <c r="J64" s="362"/>
      <c r="K64" s="362"/>
      <c r="L64" s="362"/>
      <c r="M64" s="362"/>
      <c r="N64" s="362"/>
      <c r="O64" s="362"/>
      <c r="P64" s="362"/>
      <c r="Q64" s="362"/>
      <c r="R64" s="362"/>
      <c r="S64" s="362"/>
      <c r="T64" s="362"/>
      <c r="U64" s="362"/>
      <c r="V64" s="362"/>
      <c r="W64" s="362"/>
      <c r="X64" s="362"/>
      <c r="Y64" s="362"/>
      <c r="Z64" s="362"/>
      <c r="AA64" s="362"/>
      <c r="AB64" s="362"/>
      <c r="AC64" s="362"/>
    </row>
    <row r="65" spans="2:29" x14ac:dyDescent="0.3">
      <c r="B65" s="362"/>
      <c r="C65" s="362"/>
      <c r="D65" s="362"/>
      <c r="E65" s="362"/>
      <c r="F65" s="362"/>
      <c r="G65" s="362"/>
      <c r="H65" s="362"/>
      <c r="I65" s="362"/>
      <c r="J65" s="362"/>
      <c r="K65" s="362"/>
      <c r="L65" s="362"/>
      <c r="M65" s="362"/>
      <c r="N65" s="362"/>
      <c r="O65" s="362"/>
      <c r="P65" s="362"/>
      <c r="Q65" s="362"/>
      <c r="R65" s="362"/>
      <c r="S65" s="362"/>
      <c r="T65" s="362"/>
      <c r="U65" s="362"/>
      <c r="V65" s="362"/>
      <c r="W65" s="362"/>
      <c r="X65" s="362"/>
      <c r="Y65" s="362"/>
      <c r="Z65" s="362"/>
      <c r="AA65" s="362"/>
      <c r="AB65" s="362"/>
      <c r="AC65" s="362"/>
    </row>
    <row r="66" spans="2:29" x14ac:dyDescent="0.3">
      <c r="B66" s="362"/>
      <c r="C66" s="362"/>
      <c r="D66" s="362"/>
      <c r="E66" s="362"/>
      <c r="F66" s="362"/>
      <c r="G66" s="362"/>
      <c r="H66" s="362"/>
      <c r="I66" s="362"/>
      <c r="J66" s="362"/>
      <c r="K66" s="362"/>
      <c r="L66" s="362"/>
      <c r="M66" s="362"/>
      <c r="N66" s="362"/>
      <c r="O66" s="362"/>
      <c r="P66" s="362"/>
      <c r="Q66" s="362"/>
      <c r="R66" s="362"/>
      <c r="S66" s="362"/>
      <c r="T66" s="362"/>
      <c r="U66" s="362"/>
      <c r="V66" s="362"/>
      <c r="W66" s="362"/>
      <c r="X66" s="362"/>
      <c r="Y66" s="362"/>
      <c r="Z66" s="362"/>
      <c r="AA66" s="362"/>
      <c r="AB66" s="362"/>
      <c r="AC66" s="362"/>
    </row>
    <row r="67" spans="2:29" x14ac:dyDescent="0.3">
      <c r="B67" s="362"/>
      <c r="C67" s="362"/>
      <c r="D67" s="362"/>
      <c r="E67" s="362"/>
      <c r="F67" s="362"/>
      <c r="G67" s="362"/>
      <c r="H67" s="362"/>
      <c r="I67" s="362"/>
      <c r="J67" s="362"/>
      <c r="K67" s="362"/>
      <c r="L67" s="362"/>
      <c r="M67" s="362"/>
      <c r="N67" s="362"/>
      <c r="O67" s="362"/>
      <c r="P67" s="362"/>
      <c r="Q67" s="362"/>
      <c r="R67" s="362"/>
      <c r="S67" s="362"/>
      <c r="T67" s="362"/>
      <c r="U67" s="362"/>
      <c r="V67" s="362"/>
      <c r="W67" s="362"/>
      <c r="X67" s="362"/>
      <c r="Y67" s="362"/>
      <c r="Z67" s="362"/>
      <c r="AA67" s="362"/>
      <c r="AB67" s="362"/>
      <c r="AC67" s="362"/>
    </row>
    <row r="68" spans="2:29" x14ac:dyDescent="0.3">
      <c r="B68" s="362"/>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row>
    <row r="69" spans="2:29" x14ac:dyDescent="0.3">
      <c r="B69" s="362"/>
      <c r="C69" s="362"/>
      <c r="D69" s="362"/>
      <c r="E69" s="362"/>
      <c r="F69" s="362"/>
      <c r="G69" s="362"/>
      <c r="H69" s="362"/>
      <c r="I69" s="362"/>
      <c r="J69" s="362"/>
      <c r="K69" s="362"/>
      <c r="L69" s="362"/>
      <c r="M69" s="362"/>
      <c r="N69" s="362"/>
      <c r="O69" s="362"/>
      <c r="P69" s="362"/>
      <c r="Q69" s="362"/>
      <c r="R69" s="362"/>
      <c r="S69" s="362"/>
      <c r="T69" s="362"/>
      <c r="U69" s="362"/>
      <c r="V69" s="362"/>
      <c r="W69" s="362"/>
      <c r="X69" s="362"/>
      <c r="Y69" s="362"/>
      <c r="Z69" s="362"/>
      <c r="AA69" s="362"/>
      <c r="AB69" s="362"/>
      <c r="AC69" s="362"/>
    </row>
    <row r="70" spans="2:29" x14ac:dyDescent="0.3">
      <c r="B70" s="362"/>
      <c r="C70" s="362"/>
      <c r="D70" s="362"/>
      <c r="E70" s="362"/>
      <c r="F70" s="362"/>
      <c r="G70" s="362"/>
      <c r="H70" s="362"/>
      <c r="I70" s="362"/>
      <c r="J70" s="362"/>
      <c r="K70" s="362"/>
      <c r="L70" s="362"/>
      <c r="M70" s="362"/>
      <c r="N70" s="362"/>
      <c r="O70" s="362"/>
      <c r="P70" s="362"/>
      <c r="Q70" s="362"/>
      <c r="R70" s="362"/>
      <c r="S70" s="362"/>
      <c r="T70" s="362"/>
      <c r="U70" s="362"/>
      <c r="V70" s="362"/>
      <c r="W70" s="362"/>
      <c r="X70" s="362"/>
      <c r="Y70" s="362"/>
      <c r="Z70" s="362"/>
      <c r="AA70" s="362"/>
      <c r="AB70" s="362"/>
      <c r="AC70" s="362"/>
    </row>
    <row r="71" spans="2:29" x14ac:dyDescent="0.3">
      <c r="B71" s="362"/>
      <c r="C71" s="362"/>
      <c r="D71" s="362"/>
      <c r="E71" s="362"/>
      <c r="F71" s="362"/>
      <c r="G71" s="362"/>
      <c r="H71" s="362"/>
      <c r="I71" s="362"/>
      <c r="J71" s="362"/>
      <c r="K71" s="362"/>
      <c r="L71" s="362"/>
      <c r="M71" s="362"/>
      <c r="N71" s="362"/>
      <c r="O71" s="362"/>
      <c r="P71" s="362"/>
      <c r="Q71" s="362"/>
      <c r="R71" s="362"/>
      <c r="S71" s="362"/>
      <c r="T71" s="362"/>
      <c r="U71" s="362"/>
      <c r="V71" s="362"/>
      <c r="W71" s="362"/>
      <c r="X71" s="362"/>
      <c r="Y71" s="362"/>
      <c r="Z71" s="362"/>
      <c r="AA71" s="362"/>
      <c r="AB71" s="362"/>
      <c r="AC71" s="362"/>
    </row>
    <row r="72" spans="2:29" x14ac:dyDescent="0.3">
      <c r="B72" s="362"/>
      <c r="C72" s="362"/>
      <c r="D72" s="362"/>
      <c r="E72" s="362"/>
      <c r="F72" s="362"/>
      <c r="G72" s="362"/>
      <c r="H72" s="362"/>
      <c r="I72" s="362"/>
      <c r="J72" s="362"/>
      <c r="K72" s="362"/>
      <c r="L72" s="362"/>
      <c r="M72" s="362"/>
      <c r="N72" s="362"/>
      <c r="O72" s="362"/>
      <c r="P72" s="362"/>
      <c r="Q72" s="362"/>
      <c r="R72" s="362"/>
      <c r="S72" s="362"/>
      <c r="T72" s="362"/>
      <c r="U72" s="362"/>
      <c r="V72" s="362"/>
      <c r="W72" s="362"/>
      <c r="X72" s="362"/>
      <c r="Y72" s="362"/>
      <c r="Z72" s="362"/>
      <c r="AA72" s="362"/>
      <c r="AB72" s="362"/>
      <c r="AC72" s="362"/>
    </row>
    <row r="73" spans="2:29" ht="16.5" customHeight="1" x14ac:dyDescent="0.3">
      <c r="B73" s="362"/>
      <c r="C73" s="362"/>
      <c r="D73" s="362"/>
      <c r="E73" s="362"/>
      <c r="F73" s="362"/>
      <c r="G73" s="362"/>
      <c r="H73" s="362"/>
      <c r="I73" s="362"/>
      <c r="J73" s="362"/>
      <c r="K73" s="362"/>
      <c r="L73" s="362"/>
      <c r="M73" s="362"/>
      <c r="N73" s="362"/>
      <c r="O73" s="362"/>
      <c r="P73" s="362"/>
      <c r="Q73" s="362"/>
      <c r="R73" s="362"/>
      <c r="S73" s="362"/>
      <c r="T73" s="362"/>
      <c r="U73" s="362"/>
      <c r="V73" s="362"/>
      <c r="W73" s="362"/>
      <c r="X73" s="362"/>
      <c r="Y73" s="362"/>
      <c r="Z73" s="362"/>
      <c r="AA73" s="362"/>
      <c r="AB73" s="362"/>
      <c r="AC73" s="362"/>
    </row>
    <row r="74" spans="2:29" x14ac:dyDescent="0.3">
      <c r="B74" s="362"/>
      <c r="C74" s="362"/>
      <c r="D74" s="362"/>
      <c r="E74" s="362"/>
      <c r="F74" s="362"/>
      <c r="G74" s="362"/>
      <c r="H74" s="362"/>
      <c r="I74" s="362"/>
      <c r="J74" s="362"/>
      <c r="K74" s="362"/>
      <c r="L74" s="362"/>
      <c r="M74" s="362"/>
      <c r="N74" s="362"/>
      <c r="O74" s="362"/>
      <c r="P74" s="362"/>
      <c r="Q74" s="362"/>
      <c r="R74" s="362"/>
      <c r="S74" s="362"/>
      <c r="T74" s="362"/>
      <c r="U74" s="362"/>
      <c r="V74" s="362"/>
      <c r="W74" s="362"/>
      <c r="X74" s="362"/>
      <c r="Y74" s="362"/>
      <c r="Z74" s="362"/>
      <c r="AA74" s="362"/>
      <c r="AB74" s="362"/>
      <c r="AC74" s="362"/>
    </row>
    <row r="75" spans="2:29" ht="16.5" customHeight="1" x14ac:dyDescent="0.3">
      <c r="B75" s="362"/>
      <c r="C75" s="362"/>
      <c r="D75" s="362"/>
      <c r="E75" s="362"/>
      <c r="F75" s="362"/>
      <c r="G75" s="362"/>
      <c r="H75" s="362"/>
      <c r="I75" s="362"/>
      <c r="J75" s="362"/>
      <c r="K75" s="362"/>
      <c r="L75" s="362"/>
      <c r="M75" s="362"/>
      <c r="N75" s="362"/>
      <c r="O75" s="362"/>
      <c r="P75" s="362"/>
      <c r="Q75" s="362"/>
      <c r="R75" s="362"/>
      <c r="S75" s="362"/>
      <c r="T75" s="362"/>
      <c r="U75" s="362"/>
      <c r="V75" s="362"/>
      <c r="W75" s="362"/>
      <c r="X75" s="362"/>
      <c r="Y75" s="362"/>
      <c r="Z75" s="362"/>
      <c r="AA75" s="362"/>
      <c r="AB75" s="362"/>
      <c r="AC75" s="362"/>
    </row>
    <row r="76" spans="2:29" x14ac:dyDescent="0.3">
      <c r="B76" s="362"/>
      <c r="C76" s="362"/>
      <c r="D76" s="362"/>
      <c r="E76" s="362"/>
      <c r="F76" s="362"/>
      <c r="G76" s="362"/>
      <c r="H76" s="362"/>
      <c r="I76" s="362"/>
      <c r="J76" s="362"/>
      <c r="K76" s="362"/>
      <c r="L76" s="362"/>
      <c r="M76" s="362"/>
      <c r="N76" s="362"/>
      <c r="O76" s="362"/>
      <c r="P76" s="362"/>
      <c r="Q76" s="362"/>
      <c r="R76" s="362"/>
      <c r="S76" s="362"/>
      <c r="T76" s="362"/>
      <c r="U76" s="362"/>
      <c r="V76" s="362"/>
      <c r="W76" s="362"/>
      <c r="X76" s="362"/>
      <c r="Y76" s="362"/>
      <c r="Z76" s="362"/>
      <c r="AA76" s="362"/>
      <c r="AB76" s="362"/>
      <c r="AC76" s="362"/>
    </row>
    <row r="77" spans="2:29" x14ac:dyDescent="0.3">
      <c r="B77" s="362"/>
      <c r="C77" s="362"/>
      <c r="D77" s="362"/>
      <c r="E77" s="362"/>
      <c r="F77" s="362"/>
      <c r="G77" s="362"/>
      <c r="H77" s="362"/>
      <c r="I77" s="362"/>
      <c r="J77" s="362"/>
      <c r="K77" s="362"/>
      <c r="L77" s="362"/>
      <c r="M77" s="362"/>
      <c r="N77" s="362"/>
      <c r="O77" s="362"/>
      <c r="P77" s="362"/>
      <c r="Q77" s="362"/>
      <c r="R77" s="362"/>
      <c r="S77" s="362"/>
      <c r="T77" s="362"/>
      <c r="U77" s="362"/>
      <c r="V77" s="362"/>
      <c r="W77" s="362"/>
      <c r="X77" s="362"/>
      <c r="Y77" s="362"/>
      <c r="Z77" s="362"/>
      <c r="AA77" s="362"/>
      <c r="AB77" s="362"/>
      <c r="AC77" s="362"/>
    </row>
    <row r="78" spans="2:29" x14ac:dyDescent="0.3">
      <c r="B78" s="362"/>
      <c r="C78" s="362"/>
      <c r="D78" s="362"/>
      <c r="E78" s="362"/>
      <c r="F78" s="362"/>
      <c r="G78" s="362"/>
      <c r="H78" s="362"/>
      <c r="I78" s="362"/>
      <c r="J78" s="362"/>
      <c r="K78" s="362"/>
      <c r="L78" s="362"/>
      <c r="M78" s="362"/>
      <c r="N78" s="362"/>
      <c r="O78" s="362"/>
      <c r="P78" s="362"/>
      <c r="Q78" s="362"/>
      <c r="R78" s="362"/>
      <c r="S78" s="362"/>
      <c r="T78" s="362"/>
      <c r="U78" s="362"/>
      <c r="V78" s="362"/>
      <c r="W78" s="362"/>
      <c r="X78" s="362"/>
      <c r="Y78" s="362"/>
      <c r="Z78" s="362"/>
      <c r="AA78" s="362"/>
      <c r="AB78" s="362"/>
      <c r="AC78" s="362"/>
    </row>
    <row r="79" spans="2:29" ht="16.5" customHeight="1" x14ac:dyDescent="0.3">
      <c r="B79" s="362"/>
      <c r="C79" s="362"/>
      <c r="D79" s="362"/>
      <c r="E79" s="362"/>
      <c r="F79" s="362"/>
      <c r="G79" s="362"/>
      <c r="H79" s="362"/>
      <c r="I79" s="362"/>
      <c r="J79" s="362"/>
      <c r="K79" s="362"/>
      <c r="L79" s="362"/>
      <c r="M79" s="362"/>
      <c r="N79" s="362"/>
      <c r="O79" s="362"/>
      <c r="P79" s="362"/>
      <c r="Q79" s="362"/>
      <c r="R79" s="362"/>
      <c r="S79" s="362"/>
      <c r="T79" s="362"/>
      <c r="U79" s="362"/>
      <c r="V79" s="362"/>
      <c r="W79" s="362"/>
      <c r="X79" s="362"/>
      <c r="Y79" s="362"/>
      <c r="Z79" s="362"/>
      <c r="AA79" s="362"/>
      <c r="AB79" s="362"/>
      <c r="AC79" s="362"/>
    </row>
    <row r="80" spans="2:29" x14ac:dyDescent="0.3">
      <c r="B80" s="362"/>
      <c r="C80" s="362"/>
      <c r="D80" s="362"/>
      <c r="E80" s="362"/>
      <c r="F80" s="362"/>
      <c r="G80" s="362"/>
      <c r="H80" s="362"/>
      <c r="I80" s="362"/>
      <c r="J80" s="362"/>
      <c r="K80" s="362"/>
      <c r="L80" s="362"/>
      <c r="M80" s="362"/>
      <c r="N80" s="362"/>
      <c r="O80" s="362"/>
      <c r="P80" s="362"/>
      <c r="Q80" s="362"/>
      <c r="R80" s="362"/>
      <c r="S80" s="362"/>
      <c r="T80" s="362"/>
      <c r="U80" s="362"/>
      <c r="V80" s="362"/>
      <c r="W80" s="362"/>
      <c r="X80" s="362"/>
      <c r="Y80" s="362"/>
      <c r="Z80" s="362"/>
      <c r="AA80" s="362"/>
      <c r="AB80" s="362"/>
      <c r="AC80" s="362"/>
    </row>
    <row r="87" ht="16.5" customHeight="1" x14ac:dyDescent="0.3"/>
    <row r="88" ht="79.5" customHeight="1" x14ac:dyDescent="0.3"/>
  </sheetData>
  <sheetProtection password="EBEE" sheet="1" objects="1" scenarios="1"/>
  <protectedRanges>
    <protectedRange sqref="H6 AA6 F8 E10 I10 AB10 AB13 F15 F17 F19 F21 K15 K17 K19 K21 P15 P17 P19 P21 G34 G36 G38 G40" name="RangoAol"/>
  </protectedRanges>
  <mergeCells count="35">
    <mergeCell ref="L41:AC41"/>
    <mergeCell ref="K29:K32"/>
    <mergeCell ref="K34:K36"/>
    <mergeCell ref="L37:AC38"/>
    <mergeCell ref="K37:K38"/>
    <mergeCell ref="L39:AC40"/>
    <mergeCell ref="K39:K40"/>
    <mergeCell ref="D26:AC27"/>
    <mergeCell ref="L29:AC32"/>
    <mergeCell ref="L34:AC36"/>
    <mergeCell ref="E32:F32"/>
    <mergeCell ref="AB13:AC13"/>
    <mergeCell ref="U13:AA13"/>
    <mergeCell ref="E30:H30"/>
    <mergeCell ref="F15:H15"/>
    <mergeCell ref="F21:H21"/>
    <mergeCell ref="U15:AC24"/>
    <mergeCell ref="W11:AC11"/>
    <mergeCell ref="W10:AA10"/>
    <mergeCell ref="F13:H13"/>
    <mergeCell ref="E10:F10"/>
    <mergeCell ref="I10:U10"/>
    <mergeCell ref="A1:AD2"/>
    <mergeCell ref="B4:AC4"/>
    <mergeCell ref="Y6:Z6"/>
    <mergeCell ref="F8:AC8"/>
    <mergeCell ref="H6:W6"/>
    <mergeCell ref="AA6:AC6"/>
    <mergeCell ref="C6:F6"/>
    <mergeCell ref="C8:E8"/>
    <mergeCell ref="C10:D10"/>
    <mergeCell ref="J13:M13"/>
    <mergeCell ref="O13:R13"/>
    <mergeCell ref="F17:H17"/>
    <mergeCell ref="F19:H19"/>
  </mergeCells>
  <phoneticPr fontId="75" type="noConversion"/>
  <dataValidations count="10">
    <dataValidation type="decimal" operator="lessThanOrEqual" allowBlank="1" showInputMessage="1" showErrorMessage="1" error="La superficie de plantación ha de ser igual o inferior a la superficie de la parcela donde se encuentra." sqref="P15 P17 P19 P21">
      <formula1>K15</formula1>
    </dataValidation>
    <dataValidation type="whole" operator="greaterThan" allowBlank="1" showInputMessage="1" showErrorMessage="1" error="El quinto año de plantación ha de ser posterior al cuarto." sqref="G40">
      <formula1>G38</formula1>
    </dataValidation>
    <dataValidation type="whole" operator="greaterThan" allowBlank="1" showInputMessage="1" showErrorMessage="1" error="El segundo año de plantación ha de ser posterior al primero." sqref="G34">
      <formula1>G32</formula1>
    </dataValidation>
    <dataValidation type="whole" operator="greaterThan" allowBlank="1" showInputMessage="1" showErrorMessage="1" error="El tercer año de plantación ha de ser posterior al segundo." sqref="G36">
      <formula1>G34</formula1>
    </dataValidation>
    <dataValidation type="whole" operator="greaterThan" allowBlank="1" showInputMessage="1" showErrorMessage="1" error="El cuarto año de plantación ha de ser posterior al tercero." sqref="G38">
      <formula1>G36</formula1>
    </dataValidation>
    <dataValidation type="textLength" operator="equal" allowBlank="1" showInputMessage="1" showErrorMessage="1" error="La referencia catastral es un código alfanumérico que está compuesto por 20 caracteres." sqref="F15:H15 F21:H21 F17:H17 F19:H19">
      <formula1>20</formula1>
    </dataValidation>
    <dataValidation type="textLength" operator="equal" allowBlank="1" showInputMessage="1" showErrorMessage="1" error="9 caracteres sin introducir guiones ni puntos." sqref="AA6:AC6">
      <formula1>9</formula1>
    </dataValidation>
    <dataValidation type="whole" operator="greaterThanOrEqual" allowBlank="1" showInputMessage="1" showErrorMessage="1" error="El periodo de permanencia ha de ser de 30 años o superior." sqref="AB10">
      <formula1>30</formula1>
    </dataValidation>
    <dataValidation type="whole" operator="greaterThanOrEqual" allowBlank="1" showInputMessage="1" showErrorMessage="1" error="La campaña de plantación ha de ser la de 2012-2013 o posterior." sqref="AB13:AC13">
      <formula1>2012</formula1>
    </dataValidation>
    <dataValidation type="list" allowBlank="1" showInputMessage="1" showErrorMessage="1" sqref="E10:F10">
      <formula1>$AF$2:$AF$53</formula1>
    </dataValidation>
  </dataValidations>
  <pageMargins left="0.70866141732283472" right="0.70866141732283472" top="0.74803149606299213" bottom="0.74803149606299213" header="0.31496062992125984" footer="0.31496062992125984"/>
  <pageSetup paperSize="9" scale="37"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1"/>
  <sheetViews>
    <sheetView showGridLines="0" showRowColHeaders="0" zoomScaleNormal="100" workbookViewId="0">
      <selection sqref="A1:U2"/>
    </sheetView>
  </sheetViews>
  <sheetFormatPr baseColWidth="10" defaultRowHeight="16.5" x14ac:dyDescent="0.3"/>
  <cols>
    <col min="1" max="1" width="4.85546875" style="228" customWidth="1"/>
    <col min="2" max="2" width="2.42578125" style="228" customWidth="1"/>
    <col min="3" max="3" width="5.85546875" style="228" customWidth="1"/>
    <col min="4" max="4" width="35.28515625" style="228" customWidth="1"/>
    <col min="5" max="5" width="9.7109375" style="228" customWidth="1"/>
    <col min="6" max="6" width="9.140625" style="228" customWidth="1"/>
    <col min="7" max="7" width="10.7109375" style="228" customWidth="1"/>
    <col min="8" max="8" width="11.28515625" style="228" customWidth="1"/>
    <col min="9" max="10" width="10.7109375" style="228" customWidth="1"/>
    <col min="11" max="11" width="7.85546875" style="228" customWidth="1"/>
    <col min="12" max="12" width="3.5703125" style="228" customWidth="1"/>
    <col min="13" max="13" width="6.140625" style="228" customWidth="1"/>
    <col min="14" max="14" width="3" style="228" customWidth="1"/>
    <col min="15" max="15" width="7.140625" style="228" customWidth="1"/>
    <col min="16" max="16" width="2.7109375" style="228" customWidth="1"/>
    <col min="17" max="17" width="6.7109375" style="228" customWidth="1"/>
    <col min="18" max="18" width="5" style="228" customWidth="1"/>
    <col min="19" max="19" width="11.42578125" style="228"/>
    <col min="20" max="20" width="10" style="228" customWidth="1"/>
    <col min="21" max="21" width="4.140625" style="228" customWidth="1"/>
    <col min="22" max="22" width="1.42578125" style="228" bestFit="1" customWidth="1"/>
    <col min="23" max="23" width="11.42578125" style="228" hidden="1" customWidth="1"/>
    <col min="24" max="24" width="41" style="228" hidden="1" customWidth="1"/>
    <col min="25" max="29" width="9.5703125" style="228" hidden="1" customWidth="1"/>
    <col min="30" max="30" width="41" style="228" hidden="1" customWidth="1"/>
    <col min="31" max="31" width="5.42578125" style="228" hidden="1" customWidth="1"/>
    <col min="32" max="32" width="8.7109375" style="228" hidden="1" customWidth="1"/>
    <col min="33" max="33" width="7.42578125" style="228" hidden="1" customWidth="1"/>
    <col min="34" max="34" width="10.140625" style="228" hidden="1" customWidth="1"/>
    <col min="35" max="35" width="5.5703125" style="228" hidden="1" customWidth="1"/>
    <col min="36" max="36" width="8.85546875" style="228" hidden="1" customWidth="1"/>
    <col min="37" max="37" width="12.140625" style="228" hidden="1" customWidth="1"/>
    <col min="38" max="38" width="15.5703125" style="228" hidden="1" customWidth="1"/>
    <col min="39" max="39" width="9" style="228" hidden="1" customWidth="1"/>
    <col min="40" max="40" width="34.140625" style="228" hidden="1" customWidth="1"/>
    <col min="41" max="41" width="34.28515625" style="228" hidden="1" customWidth="1"/>
    <col min="42" max="42" width="21.5703125" style="228" hidden="1" customWidth="1"/>
    <col min="43" max="43" width="9.7109375" style="228" hidden="1" customWidth="1"/>
    <col min="44" max="44" width="9.85546875" style="228" hidden="1" customWidth="1"/>
    <col min="45" max="47" width="11.42578125" style="228" hidden="1" customWidth="1"/>
    <col min="48" max="58" width="11.42578125" style="228" customWidth="1"/>
    <col min="59" max="16384" width="11.42578125" style="228"/>
  </cols>
  <sheetData>
    <row r="1" spans="1:39" ht="15" customHeight="1" x14ac:dyDescent="0.3">
      <c r="A1" s="610" t="s">
        <v>555</v>
      </c>
      <c r="B1" s="611"/>
      <c r="C1" s="611"/>
      <c r="D1" s="611"/>
      <c r="E1" s="611"/>
      <c r="F1" s="611"/>
      <c r="G1" s="611"/>
      <c r="H1" s="611"/>
      <c r="I1" s="611"/>
      <c r="J1" s="611"/>
      <c r="K1" s="611"/>
      <c r="L1" s="611"/>
      <c r="M1" s="611"/>
      <c r="N1" s="611"/>
      <c r="O1" s="611"/>
      <c r="P1" s="611"/>
      <c r="Q1" s="611"/>
      <c r="R1" s="611"/>
      <c r="S1" s="611"/>
      <c r="T1" s="611"/>
      <c r="U1" s="611"/>
      <c r="AB1" s="282" t="s">
        <v>448</v>
      </c>
      <c r="AC1" s="282" t="s">
        <v>449</v>
      </c>
      <c r="AD1" s="282" t="s">
        <v>450</v>
      </c>
      <c r="AE1" s="282" t="s">
        <v>451</v>
      </c>
      <c r="AF1" s="282" t="s">
        <v>452</v>
      </c>
      <c r="AG1" s="250"/>
      <c r="AH1" s="260" t="s">
        <v>457</v>
      </c>
      <c r="AI1" s="379">
        <f>'1. Datos generales proyecto'!P23-AI2</f>
        <v>0</v>
      </c>
      <c r="AM1" s="250" t="s">
        <v>461</v>
      </c>
    </row>
    <row r="2" spans="1:39" ht="17.25" customHeight="1" x14ac:dyDescent="0.3">
      <c r="A2" s="611"/>
      <c r="B2" s="611"/>
      <c r="C2" s="611"/>
      <c r="D2" s="611"/>
      <c r="E2" s="611"/>
      <c r="F2" s="611"/>
      <c r="G2" s="611"/>
      <c r="H2" s="611"/>
      <c r="I2" s="611"/>
      <c r="J2" s="611"/>
      <c r="K2" s="611"/>
      <c r="L2" s="611"/>
      <c r="M2" s="611"/>
      <c r="N2" s="611"/>
      <c r="O2" s="611"/>
      <c r="P2" s="611"/>
      <c r="Q2" s="611"/>
      <c r="R2" s="611"/>
      <c r="S2" s="611"/>
      <c r="T2" s="611"/>
      <c r="U2" s="611"/>
      <c r="X2" s="609" t="s">
        <v>425</v>
      </c>
      <c r="Y2" s="609"/>
      <c r="Z2" s="419">
        <f>IF(OR('1. Datos generales proyecto'!AB10&lt;50,'1. Datos generales proyecto'!AB10=50),'1. Datos generales proyecto'!AB10,50)</f>
        <v>0</v>
      </c>
      <c r="AB2" s="261" t="str">
        <f>IF(ISNUMBER('1. Datos generales proyecto'!G32),'1. Datos generales proyecto'!G32,"")</f>
        <v/>
      </c>
      <c r="AC2" s="261" t="str">
        <f>IF(ISNUMBER('1. Datos generales proyecto'!G34),'1. Datos generales proyecto'!G34,"")</f>
        <v/>
      </c>
      <c r="AD2" s="261" t="str">
        <f>IF(ISNUMBER('1. Datos generales proyecto'!G36),'1. Datos generales proyecto'!G36,"")</f>
        <v/>
      </c>
      <c r="AE2" s="261" t="str">
        <f>IF(ISNUMBER('1. Datos generales proyecto'!G38),'1. Datos generales proyecto'!G38,"")</f>
        <v/>
      </c>
      <c r="AF2" s="261" t="str">
        <f>IF(ISNUMBER('1. Datos generales proyecto'!G40),'1. Datos generales proyecto'!G40,"")</f>
        <v/>
      </c>
      <c r="AG2" s="250"/>
      <c r="AH2" s="260" t="s">
        <v>458</v>
      </c>
      <c r="AI2" s="267">
        <f>SUM(G43:G57)</f>
        <v>0</v>
      </c>
      <c r="AM2" s="273" t="str">
        <f>AB2</f>
        <v/>
      </c>
    </row>
    <row r="3" spans="1:39" ht="33" customHeight="1" x14ac:dyDescent="0.3">
      <c r="X3" s="625" t="s">
        <v>547</v>
      </c>
      <c r="Y3" s="609"/>
      <c r="Z3" s="379">
        <f>AI1+AI2</f>
        <v>0</v>
      </c>
      <c r="AA3" s="416"/>
      <c r="AB3" s="416"/>
      <c r="AC3" s="416"/>
      <c r="AD3" s="416"/>
      <c r="AG3" s="250"/>
      <c r="AM3" s="273" t="str">
        <f>AC2</f>
        <v/>
      </c>
    </row>
    <row r="4" spans="1:39" ht="19.5" customHeight="1" x14ac:dyDescent="0.3">
      <c r="B4" s="559" t="s">
        <v>440</v>
      </c>
      <c r="C4" s="559"/>
      <c r="D4" s="559"/>
      <c r="E4" s="559"/>
      <c r="F4" s="559"/>
      <c r="G4" s="559"/>
      <c r="H4" s="559"/>
      <c r="I4" s="559"/>
      <c r="J4" s="559"/>
      <c r="K4" s="559"/>
      <c r="L4" s="559"/>
      <c r="M4" s="559"/>
      <c r="N4" s="559"/>
      <c r="O4" s="559"/>
      <c r="P4" s="559"/>
      <c r="Q4" s="559"/>
      <c r="R4" s="559"/>
      <c r="S4" s="559"/>
      <c r="T4" s="559"/>
      <c r="X4" s="216" t="s">
        <v>315</v>
      </c>
      <c r="Y4" s="217" t="s">
        <v>316</v>
      </c>
      <c r="Z4" s="218" t="s">
        <v>317</v>
      </c>
      <c r="AA4" s="219" t="s">
        <v>318</v>
      </c>
      <c r="AB4" s="220" t="s">
        <v>319</v>
      </c>
      <c r="AC4" s="221" t="s">
        <v>320</v>
      </c>
      <c r="AD4" s="222" t="s">
        <v>75</v>
      </c>
      <c r="AF4" s="264" t="s">
        <v>454</v>
      </c>
      <c r="AG4" s="264" t="s">
        <v>453</v>
      </c>
      <c r="AH4" s="262" t="s">
        <v>331</v>
      </c>
      <c r="AI4" s="227" t="s">
        <v>332</v>
      </c>
      <c r="AJ4" s="227" t="s">
        <v>336</v>
      </c>
      <c r="AK4" s="224" t="s">
        <v>324</v>
      </c>
      <c r="AL4" s="215" t="s">
        <v>325</v>
      </c>
      <c r="AM4" s="273" t="str">
        <f>AD2</f>
        <v/>
      </c>
    </row>
    <row r="5" spans="1:39" ht="12" customHeight="1" thickBot="1" x14ac:dyDescent="0.35">
      <c r="C5" s="252"/>
      <c r="D5" s="252"/>
      <c r="E5" s="252"/>
      <c r="F5" s="252"/>
      <c r="G5" s="252"/>
      <c r="H5" s="252"/>
      <c r="I5" s="252"/>
      <c r="J5" s="252"/>
      <c r="K5" s="252"/>
      <c r="L5" s="252"/>
      <c r="M5" s="252"/>
      <c r="N5" s="252"/>
      <c r="O5" s="252"/>
      <c r="P5" s="252"/>
      <c r="Q5" s="252"/>
      <c r="R5" s="252"/>
      <c r="S5" s="252"/>
      <c r="T5" s="252"/>
      <c r="X5" s="229" t="str">
        <f>'Selección final metodología'!A4</f>
        <v>Abies alba</v>
      </c>
      <c r="Y5" s="394">
        <f>'Selección final metodología'!B4</f>
        <v>6.3544816116135994E-2</v>
      </c>
      <c r="Z5" s="394">
        <f>'Selección final metodología'!C4</f>
        <v>7.943102014517002E-2</v>
      </c>
      <c r="AA5" s="394">
        <f>'Selección final metodología'!D4</f>
        <v>9.5317224174204004E-2</v>
      </c>
      <c r="AB5" s="394">
        <f>'Selección final metodología'!E4</f>
        <v>0.111203428203238</v>
      </c>
      <c r="AC5" s="394">
        <f>'Selección final metodología'!F4</f>
        <v>0.12708963223227199</v>
      </c>
      <c r="AD5" s="313" t="str">
        <f>'Selección final metodología'!G4</f>
        <v>Tabla 201 del IFN3 y Anexo 2 (Coníferas) IFN1 (1)</v>
      </c>
      <c r="AF5" s="265">
        <f>E20</f>
        <v>0</v>
      </c>
      <c r="AG5" s="265" t="str">
        <f>IF(ISNUMBER(E20),AF5-$AB$2,"")</f>
        <v/>
      </c>
      <c r="AH5" s="263" t="e">
        <f t="shared" ref="AH5:AH19" si="0">IF((VLOOKUP(D20,$X$4:$AC$86,4,0)+($Z$2-AG5-30)*((VLOOKUP(D20,$X$4:$AC$86,5,0)-VLOOKUP(D20,$X$4:$AC$86,4,0))/5))&gt;0,(VLOOKUP(D20,$X$4:$AC$86,4,0)+($Z$2-AG5-30)*((VLOOKUP(D20,$X$4:$AC$86,5,0)-VLOOKUP(D20,$X$4:$AC$86,4,0))/5)),0)</f>
        <v>#N/A</v>
      </c>
      <c r="AI5" s="226" t="e">
        <f t="shared" ref="AI5:AI19" si="1">IF((VLOOKUP(D20,$X$4:$AC$86,5,0)+($Z$2-AG5-35)*((VLOOKUP(D20,$X$4:$AC$86,6,0)-VLOOKUP(D20,$X$4:$AC$86,5,0))/5))&gt;0,(VLOOKUP(D20,$X$4:$AC$86,5,0)+($Z$2-AG5-35)*((VLOOKUP(D20,$X$4:$AC$86,6,0)-VLOOKUP(D20,$X$4:$AC$86,5,0))/5)),0)</f>
        <v>#N/A</v>
      </c>
      <c r="AJ5" s="226" t="e">
        <f>VLOOKUP(D20,X4:AC86,6,0)*($Z$2-AG5)/40</f>
        <v>#N/A</v>
      </c>
      <c r="AK5" s="243" t="e">
        <f>IF(OR($Z$2-AG5=30,$Z$2-AG5&lt;35),AH5,IF(OR($Z$2-AG5=35,AND($Z$2-AG5&lt;40,$Z$2-AG5&gt;35)),AI5,AJ5))</f>
        <v>#VALUE!</v>
      </c>
      <c r="AL5" s="223" t="e">
        <f>AK5*F20</f>
        <v>#VALUE!</v>
      </c>
      <c r="AM5" s="273" t="str">
        <f>AE2</f>
        <v/>
      </c>
    </row>
    <row r="6" spans="1:39" ht="19.5" customHeight="1" x14ac:dyDescent="0.3">
      <c r="B6" s="616" t="s">
        <v>544</v>
      </c>
      <c r="C6" s="617"/>
      <c r="D6" s="617"/>
      <c r="E6" s="617"/>
      <c r="F6" s="617"/>
      <c r="G6" s="617"/>
      <c r="H6" s="617"/>
      <c r="I6" s="617"/>
      <c r="J6" s="617"/>
      <c r="K6" s="617"/>
      <c r="L6" s="617"/>
      <c r="M6" s="617"/>
      <c r="N6" s="617"/>
      <c r="O6" s="617"/>
      <c r="P6" s="617"/>
      <c r="Q6" s="617"/>
      <c r="R6" s="617"/>
      <c r="S6" s="617"/>
      <c r="T6" s="618"/>
      <c r="X6" s="229" t="str">
        <f>'Selección final metodología'!A5</f>
        <v>Abies pinsapo</v>
      </c>
      <c r="Y6" s="394">
        <f>'Selección final metodología'!B5</f>
        <v>0.21939097084791426</v>
      </c>
      <c r="Z6" s="394">
        <f>'Selección final metodología'!C5</f>
        <v>0.27423871355989282</v>
      </c>
      <c r="AA6" s="394">
        <f>'Selección final metodología'!D5</f>
        <v>0.32908645627187133</v>
      </c>
      <c r="AB6" s="394">
        <f>'Selección final metodología'!E5</f>
        <v>0.38393419898384989</v>
      </c>
      <c r="AC6" s="394">
        <f>'Selección final metodología'!F5</f>
        <v>0.43878194169582851</v>
      </c>
      <c r="AD6" s="313" t="str">
        <f>'Selección final metodología'!G5</f>
        <v>Tabla 201 del IFN3 y Anexo 2 (Coníferas) IFN1 (1)</v>
      </c>
      <c r="AF6" s="265">
        <f t="shared" ref="AF6:AF18" si="2">E21</f>
        <v>0</v>
      </c>
      <c r="AG6" s="265" t="str">
        <f>IF(ISNUMBER(E21),AF6-$AB$2,"")</f>
        <v/>
      </c>
      <c r="AH6" s="263" t="e">
        <f t="shared" si="0"/>
        <v>#N/A</v>
      </c>
      <c r="AI6" s="226" t="e">
        <f t="shared" si="1"/>
        <v>#N/A</v>
      </c>
      <c r="AJ6" s="226" t="e">
        <f>VLOOKUP(D21,X5:AC87,6,0)*($Z$2-AG6)/40</f>
        <v>#N/A</v>
      </c>
      <c r="AK6" s="243" t="e">
        <f t="shared" ref="AK6:AK19" si="3">IF(OR($Z$2-AG6=30,$Z$2-AG6&lt;35),AH6,IF(OR($Z$2-AG6=35,AND($Z$2-AG6&lt;40,$Z$2-AG6&gt;35)),AI6,AJ6))</f>
        <v>#VALUE!</v>
      </c>
      <c r="AL6" s="223" t="e">
        <f t="shared" ref="AL6:AL19" si="4">AK6*F21</f>
        <v>#VALUE!</v>
      </c>
      <c r="AM6" s="273" t="str">
        <f>AF2</f>
        <v/>
      </c>
    </row>
    <row r="7" spans="1:39" ht="19.5" customHeight="1" x14ac:dyDescent="0.3">
      <c r="B7" s="619"/>
      <c r="C7" s="620"/>
      <c r="D7" s="620"/>
      <c r="E7" s="620"/>
      <c r="F7" s="620"/>
      <c r="G7" s="620"/>
      <c r="H7" s="620"/>
      <c r="I7" s="620"/>
      <c r="J7" s="620"/>
      <c r="K7" s="620"/>
      <c r="L7" s="620"/>
      <c r="M7" s="620"/>
      <c r="N7" s="620"/>
      <c r="O7" s="620"/>
      <c r="P7" s="620"/>
      <c r="Q7" s="620"/>
      <c r="R7" s="620"/>
      <c r="S7" s="620"/>
      <c r="T7" s="621"/>
      <c r="X7" s="229" t="str">
        <f>'Selección final metodología'!A6</f>
        <v>Acer spp.</v>
      </c>
      <c r="Y7" s="394">
        <f>'Selección final metodología'!B6</f>
        <v>0.14975536130234138</v>
      </c>
      <c r="Z7" s="394">
        <f>'Selección final metodología'!C6</f>
        <v>0.18719420162792669</v>
      </c>
      <c r="AA7" s="394">
        <f>'Selección final metodología'!D6</f>
        <v>0.22463304195351205</v>
      </c>
      <c r="AB7" s="394">
        <f>'Selección final metodología'!E6</f>
        <v>0.26207188227909739</v>
      </c>
      <c r="AC7" s="394">
        <f>'Selección final metodología'!F6</f>
        <v>0.29951072260468276</v>
      </c>
      <c r="AD7" s="313" t="str">
        <f>'Selección final metodología'!G6</f>
        <v>Tabla 201 del IFN3 y Anexo 2 (frondosas) IFN1 (2)</v>
      </c>
      <c r="AF7" s="265">
        <f t="shared" si="2"/>
        <v>0</v>
      </c>
      <c r="AG7" s="265" t="str">
        <f>IF(ISNUMBER(E22),AF7-$AB$2,"")</f>
        <v/>
      </c>
      <c r="AH7" s="263" t="e">
        <f t="shared" si="0"/>
        <v>#N/A</v>
      </c>
      <c r="AI7" s="226" t="e">
        <f t="shared" si="1"/>
        <v>#N/A</v>
      </c>
      <c r="AJ7" s="226" t="e">
        <f>VLOOKUP(D22,X6:AC88,6,0)*($Z$2-AG7)/40</f>
        <v>#N/A</v>
      </c>
      <c r="AK7" s="243" t="e">
        <f t="shared" si="3"/>
        <v>#VALUE!</v>
      </c>
      <c r="AL7" s="223" t="e">
        <f t="shared" si="4"/>
        <v>#VALUE!</v>
      </c>
    </row>
    <row r="8" spans="1:39" ht="19.5" customHeight="1" x14ac:dyDescent="0.3">
      <c r="B8" s="619"/>
      <c r="C8" s="620"/>
      <c r="D8" s="620"/>
      <c r="E8" s="620"/>
      <c r="F8" s="620"/>
      <c r="G8" s="620"/>
      <c r="H8" s="620"/>
      <c r="I8" s="620"/>
      <c r="J8" s="620"/>
      <c r="K8" s="620"/>
      <c r="L8" s="620"/>
      <c r="M8" s="620"/>
      <c r="N8" s="620"/>
      <c r="O8" s="620"/>
      <c r="P8" s="620"/>
      <c r="Q8" s="620"/>
      <c r="R8" s="620"/>
      <c r="S8" s="620"/>
      <c r="T8" s="621"/>
      <c r="X8" s="229" t="str">
        <f>'Selección final metodología'!A7</f>
        <v>Alnus spp.</v>
      </c>
      <c r="Y8" s="394">
        <f>'Selección final metodología'!B7</f>
        <v>6.4771159639729098E-2</v>
      </c>
      <c r="Z8" s="394">
        <f>'Selección final metodología'!C7</f>
        <v>8.0963949549661379E-2</v>
      </c>
      <c r="AA8" s="394">
        <f>'Selección final metodología'!D7</f>
        <v>9.7156739459593647E-2</v>
      </c>
      <c r="AB8" s="394">
        <f>'Selección final metodología'!E7</f>
        <v>0.11334952936952593</v>
      </c>
      <c r="AC8" s="394">
        <f>'Selección final metodología'!F7</f>
        <v>0.1295423192794582</v>
      </c>
      <c r="AD8" s="313" t="str">
        <f>'Selección final metodología'!G7</f>
        <v>Tabla 201 del IFN3 y Anexo 2 (frondosas) IFN1 (2)</v>
      </c>
      <c r="AF8" s="265">
        <f t="shared" si="2"/>
        <v>0</v>
      </c>
      <c r="AG8" s="265" t="str">
        <f t="shared" ref="AG8:AG19" si="5">IF(ISNUMBER(E23),AF8-$AB$2,"")</f>
        <v/>
      </c>
      <c r="AH8" s="263" t="e">
        <f t="shared" si="0"/>
        <v>#N/A</v>
      </c>
      <c r="AI8" s="226" t="e">
        <f t="shared" si="1"/>
        <v>#N/A</v>
      </c>
      <c r="AJ8" s="226" t="e">
        <f>VLOOKUP(D23,X7:AC89,6,0)*($Z$2-AG8)/40</f>
        <v>#N/A</v>
      </c>
      <c r="AK8" s="243" t="e">
        <f t="shared" si="3"/>
        <v>#VALUE!</v>
      </c>
      <c r="AL8" s="223" t="e">
        <f t="shared" si="4"/>
        <v>#VALUE!</v>
      </c>
    </row>
    <row r="9" spans="1:39" ht="19.5" customHeight="1" thickBot="1" x14ac:dyDescent="0.35">
      <c r="B9" s="622"/>
      <c r="C9" s="623"/>
      <c r="D9" s="623"/>
      <c r="E9" s="623"/>
      <c r="F9" s="623"/>
      <c r="G9" s="623"/>
      <c r="H9" s="623"/>
      <c r="I9" s="623"/>
      <c r="J9" s="623"/>
      <c r="K9" s="623"/>
      <c r="L9" s="623"/>
      <c r="M9" s="623"/>
      <c r="N9" s="623"/>
      <c r="O9" s="623"/>
      <c r="P9" s="623"/>
      <c r="Q9" s="623"/>
      <c r="R9" s="623"/>
      <c r="S9" s="623"/>
      <c r="T9" s="624"/>
      <c r="X9" s="229" t="str">
        <f>'Selección final metodología'!A8</f>
        <v>Amelanchier ovalis</v>
      </c>
      <c r="Y9" s="394">
        <f>'Selección final metodología'!B8</f>
        <v>4.2905184381875593E-2</v>
      </c>
      <c r="Z9" s="394">
        <f>'Selección final metodología'!C8</f>
        <v>0.11203292161465764</v>
      </c>
      <c r="AA9" s="394">
        <f>'Selección final metodología'!D8</f>
        <v>0.20516585167863827</v>
      </c>
      <c r="AB9" s="394">
        <f>'Selección final metodología'!E8</f>
        <v>0.34790001540782683</v>
      </c>
      <c r="AC9" s="394">
        <f>'Selección final metodología'!F8</f>
        <v>0.39760001760894487</v>
      </c>
      <c r="AD9" s="313" t="str">
        <f>'Selección final metodología'!G8</f>
        <v>Asimilación</v>
      </c>
      <c r="AF9" s="265">
        <f t="shared" si="2"/>
        <v>0</v>
      </c>
      <c r="AG9" s="265" t="str">
        <f t="shared" si="5"/>
        <v/>
      </c>
      <c r="AH9" s="263" t="e">
        <f t="shared" si="0"/>
        <v>#N/A</v>
      </c>
      <c r="AI9" s="226" t="e">
        <f t="shared" si="1"/>
        <v>#N/A</v>
      </c>
      <c r="AJ9" s="226" t="e">
        <f>VLOOKUP(D24,X7:AC90,6,0)*($Z$2-AG9)/40</f>
        <v>#N/A</v>
      </c>
      <c r="AK9" s="243" t="e">
        <f t="shared" si="3"/>
        <v>#VALUE!</v>
      </c>
      <c r="AL9" s="223" t="e">
        <f t="shared" si="4"/>
        <v>#VALUE!</v>
      </c>
    </row>
    <row r="10" spans="1:39" ht="10.5" customHeight="1" x14ac:dyDescent="0.3">
      <c r="B10" s="253"/>
      <c r="C10" s="253"/>
      <c r="D10" s="253"/>
      <c r="E10" s="253"/>
      <c r="F10" s="253"/>
      <c r="G10" s="253"/>
      <c r="H10" s="253"/>
      <c r="I10" s="253"/>
      <c r="J10" s="253"/>
      <c r="K10" s="253"/>
      <c r="L10" s="253"/>
      <c r="M10" s="253"/>
      <c r="N10" s="253"/>
      <c r="O10" s="253"/>
      <c r="P10" s="253"/>
      <c r="Q10" s="253"/>
      <c r="R10" s="253"/>
      <c r="S10" s="253"/>
      <c r="T10" s="253"/>
      <c r="X10" s="229" t="str">
        <f>'Selección final metodología'!A9</f>
        <v>Arbutus unedo</v>
      </c>
      <c r="Y10" s="394">
        <f>'Selección final metodología'!B9</f>
        <v>5.9604517312365456E-2</v>
      </c>
      <c r="Z10" s="394">
        <f>'Selección final metodología'!C9</f>
        <v>7.4505646640456821E-2</v>
      </c>
      <c r="AA10" s="394">
        <f>'Selección final metodología'!D9</f>
        <v>8.9406775968548208E-2</v>
      </c>
      <c r="AB10" s="394">
        <f>'Selección final metodología'!E9</f>
        <v>0.10430790529663955</v>
      </c>
      <c r="AC10" s="394">
        <f>'Selección final metodología'!F9</f>
        <v>0.11920903462473091</v>
      </c>
      <c r="AD10" s="313" t="str">
        <f>'Selección final metodología'!G9</f>
        <v>Tabla 201 del IFN3 y Anexo 2 (frondosas) IFN1 (2)</v>
      </c>
      <c r="AF10" s="265">
        <f t="shared" si="2"/>
        <v>0</v>
      </c>
      <c r="AG10" s="265" t="str">
        <f t="shared" si="5"/>
        <v/>
      </c>
      <c r="AH10" s="263" t="e">
        <f t="shared" si="0"/>
        <v>#N/A</v>
      </c>
      <c r="AI10" s="226" t="e">
        <f t="shared" si="1"/>
        <v>#N/A</v>
      </c>
      <c r="AJ10" s="226" t="e">
        <f>VLOOKUP(D25,X9:AC91,6,0)*($Z$2-AG10)/40</f>
        <v>#N/A</v>
      </c>
      <c r="AK10" s="243" t="e">
        <f t="shared" si="3"/>
        <v>#VALUE!</v>
      </c>
      <c r="AL10" s="223" t="e">
        <f t="shared" si="4"/>
        <v>#VALUE!</v>
      </c>
    </row>
    <row r="11" spans="1:39" ht="33.75" hidden="1" customHeight="1" x14ac:dyDescent="0.65">
      <c r="B11" s="253"/>
      <c r="C11" s="253"/>
      <c r="D11" s="258"/>
      <c r="E11" s="395"/>
      <c r="F11" s="631" t="s">
        <v>526</v>
      </c>
      <c r="G11" s="632"/>
      <c r="H11" s="632"/>
      <c r="I11" s="632"/>
      <c r="J11" s="633"/>
      <c r="K11" s="626">
        <f>SUM(S20+S43)</f>
        <v>0</v>
      </c>
      <c r="L11" s="627"/>
      <c r="M11" s="363" t="s">
        <v>445</v>
      </c>
      <c r="N11" s="253"/>
      <c r="O11" s="253"/>
      <c r="P11" s="253"/>
      <c r="Q11" s="253"/>
      <c r="R11" s="253"/>
      <c r="S11" s="253"/>
      <c r="T11" s="253"/>
      <c r="X11" s="229" t="str">
        <f>'Selección final metodología'!A10</f>
        <v>Betula spp.</v>
      </c>
      <c r="Y11" s="394">
        <f>'Selección final metodología'!B10</f>
        <v>6.2278228970051946E-2</v>
      </c>
      <c r="Z11" s="394">
        <f>'Selección final metodología'!C10</f>
        <v>7.784778621256494E-2</v>
      </c>
      <c r="AA11" s="394">
        <f>'Selección final metodología'!D10</f>
        <v>9.3417343455077906E-2</v>
      </c>
      <c r="AB11" s="394">
        <f>'Selección final metodología'!E10</f>
        <v>0.1089869006975909</v>
      </c>
      <c r="AC11" s="394">
        <f>'Selección final metodología'!F10</f>
        <v>0.12455645794010389</v>
      </c>
      <c r="AD11" s="313" t="str">
        <f>'Selección final metodología'!G10</f>
        <v>Tabla 201 del IFN3 y Anexo 2 (frondosas) IFN1 (2)</v>
      </c>
      <c r="AF11" s="265">
        <f t="shared" si="2"/>
        <v>0</v>
      </c>
      <c r="AG11" s="265" t="str">
        <f t="shared" si="5"/>
        <v/>
      </c>
      <c r="AH11" s="263" t="e">
        <f t="shared" si="0"/>
        <v>#N/A</v>
      </c>
      <c r="AI11" s="226" t="e">
        <f t="shared" si="1"/>
        <v>#N/A</v>
      </c>
      <c r="AJ11" s="226" t="e">
        <f>VLOOKUP(D26,X8:AC92,6,0)*($Z$2-AG11)/40</f>
        <v>#N/A</v>
      </c>
      <c r="AK11" s="243" t="e">
        <f t="shared" si="3"/>
        <v>#VALUE!</v>
      </c>
      <c r="AL11" s="223" t="e">
        <f t="shared" si="4"/>
        <v>#VALUE!</v>
      </c>
    </row>
    <row r="12" spans="1:39" ht="10.5" hidden="1" customHeight="1" x14ac:dyDescent="0.3">
      <c r="A12" s="250"/>
      <c r="C12" s="252"/>
      <c r="D12" s="252"/>
      <c r="L12" s="252"/>
      <c r="M12" s="252"/>
      <c r="N12" s="252"/>
      <c r="O12" s="252"/>
      <c r="P12" s="252"/>
      <c r="Q12" s="252"/>
      <c r="R12" s="252"/>
      <c r="S12" s="252"/>
      <c r="T12" s="252"/>
      <c r="X12" s="229" t="str">
        <f>'Selección final metodología'!A11</f>
        <v>Carpinus betulus</v>
      </c>
      <c r="Y12" s="394">
        <f>'Selección final metodología'!B11</f>
        <v>6.2278228970051946E-2</v>
      </c>
      <c r="Z12" s="394">
        <f>'Selección final metodología'!C11</f>
        <v>7.784778621256494E-2</v>
      </c>
      <c r="AA12" s="394">
        <f>'Selección final metodología'!D11</f>
        <v>9.3417343455077906E-2</v>
      </c>
      <c r="AB12" s="394">
        <f>'Selección final metodología'!E11</f>
        <v>0.1089869006975909</v>
      </c>
      <c r="AC12" s="394">
        <f>'Selección final metodología'!F11</f>
        <v>0.12455645794010389</v>
      </c>
      <c r="AD12" s="313" t="str">
        <f>'Selección final metodología'!G11</f>
        <v>Asimilación</v>
      </c>
      <c r="AF12" s="265">
        <f t="shared" si="2"/>
        <v>0</v>
      </c>
      <c r="AG12" s="265" t="str">
        <f t="shared" si="5"/>
        <v/>
      </c>
      <c r="AH12" s="263" t="e">
        <f t="shared" si="0"/>
        <v>#N/A</v>
      </c>
      <c r="AI12" s="226" t="e">
        <f t="shared" si="1"/>
        <v>#N/A</v>
      </c>
      <c r="AJ12" s="226" t="e">
        <f t="shared" ref="AJ12:AJ19" si="6">VLOOKUP(D27,X11:AC93,6,0)*($Z$2-AG12)/40</f>
        <v>#N/A</v>
      </c>
      <c r="AK12" s="243" t="e">
        <f t="shared" si="3"/>
        <v>#VALUE!</v>
      </c>
      <c r="AL12" s="223" t="e">
        <f t="shared" si="4"/>
        <v>#VALUE!</v>
      </c>
    </row>
    <row r="13" spans="1:39" ht="23.25" customHeight="1" x14ac:dyDescent="0.3">
      <c r="C13" s="630" t="s">
        <v>535</v>
      </c>
      <c r="D13" s="630"/>
      <c r="E13" s="630"/>
      <c r="F13" s="630"/>
      <c r="G13" s="630"/>
      <c r="H13" s="630"/>
      <c r="I13" s="630"/>
      <c r="J13" s="630"/>
      <c r="K13" s="630"/>
      <c r="L13" s="630"/>
      <c r="M13" s="630"/>
      <c r="N13" s="630"/>
      <c r="O13" s="630"/>
      <c r="P13" s="630"/>
      <c r="Q13" s="630"/>
      <c r="R13" s="630"/>
      <c r="S13" s="630"/>
      <c r="T13" s="630"/>
      <c r="X13" s="229" t="str">
        <f>'Selección final metodología'!A12</f>
        <v>Castanea sativa</v>
      </c>
      <c r="Y13" s="394">
        <f>'Selección final metodología'!B12</f>
        <v>0.1241181539518298</v>
      </c>
      <c r="Z13" s="394">
        <f>'Selección final metodología'!C12</f>
        <v>0.15514769243978724</v>
      </c>
      <c r="AA13" s="394">
        <f>'Selección final metodología'!D12</f>
        <v>0.18617723092774471</v>
      </c>
      <c r="AB13" s="394">
        <f>'Selección final metodología'!E12</f>
        <v>0.21720676941570213</v>
      </c>
      <c r="AC13" s="394">
        <f>'Selección final metodología'!F12</f>
        <v>0.24823630790365961</v>
      </c>
      <c r="AD13" s="313" t="str">
        <f>'Selección final metodología'!G12</f>
        <v>Tabla 201 del IFN3 y Anexo 2 (frondosas) IFN1 (2)</v>
      </c>
      <c r="AF13" s="265">
        <f t="shared" si="2"/>
        <v>0</v>
      </c>
      <c r="AG13" s="265" t="str">
        <f t="shared" si="5"/>
        <v/>
      </c>
      <c r="AH13" s="263" t="e">
        <f t="shared" si="0"/>
        <v>#N/A</v>
      </c>
      <c r="AI13" s="226" t="e">
        <f t="shared" si="1"/>
        <v>#N/A</v>
      </c>
      <c r="AJ13" s="226" t="e">
        <f t="shared" si="6"/>
        <v>#N/A</v>
      </c>
      <c r="AK13" s="243" t="e">
        <f t="shared" si="3"/>
        <v>#VALUE!</v>
      </c>
      <c r="AL13" s="223" t="e">
        <f t="shared" si="4"/>
        <v>#VALUE!</v>
      </c>
    </row>
    <row r="14" spans="1:39" ht="9" customHeight="1" thickBot="1" x14ac:dyDescent="0.35">
      <c r="C14" s="253"/>
      <c r="D14" s="253"/>
      <c r="E14" s="253"/>
      <c r="F14" s="253"/>
      <c r="G14" s="253"/>
      <c r="H14" s="253"/>
      <c r="I14" s="253"/>
      <c r="J14" s="253"/>
      <c r="K14" s="253"/>
      <c r="L14" s="253"/>
      <c r="M14" s="253"/>
      <c r="N14" s="253"/>
      <c r="O14" s="253"/>
      <c r="P14" s="253"/>
      <c r="Q14" s="253"/>
      <c r="R14" s="253"/>
      <c r="S14" s="253"/>
      <c r="T14" s="253"/>
      <c r="X14" s="229" t="str">
        <f>'Selección final metodología'!A13</f>
        <v>Ceratonia siliqua</v>
      </c>
      <c r="Y14" s="394">
        <f>'Selección final metodología'!B13</f>
        <v>6.1960458449175387E-2</v>
      </c>
      <c r="Z14" s="394">
        <f>'Selección final metodología'!C13</f>
        <v>7.7450573061469213E-2</v>
      </c>
      <c r="AA14" s="394">
        <f>'Selección final metodología'!D13</f>
        <v>9.2940687673763067E-2</v>
      </c>
      <c r="AB14" s="394">
        <f>'Selección final metodología'!E13</f>
        <v>0.10843080228605692</v>
      </c>
      <c r="AC14" s="394">
        <f>'Selección final metodología'!F13</f>
        <v>0.12392091689835077</v>
      </c>
      <c r="AD14" s="313" t="str">
        <f>'Selección final metodología'!G13</f>
        <v>Tabla 201 del IFN3 y Anexo 2 (frondosas) IFN1 (2)</v>
      </c>
      <c r="AF14" s="265">
        <f t="shared" si="2"/>
        <v>0</v>
      </c>
      <c r="AG14" s="265" t="str">
        <f t="shared" si="5"/>
        <v/>
      </c>
      <c r="AH14" s="263" t="e">
        <f t="shared" si="0"/>
        <v>#N/A</v>
      </c>
      <c r="AI14" s="226" t="e">
        <f t="shared" si="1"/>
        <v>#N/A</v>
      </c>
      <c r="AJ14" s="226" t="e">
        <f t="shared" si="6"/>
        <v>#N/A</v>
      </c>
      <c r="AK14" s="243" t="e">
        <f t="shared" si="3"/>
        <v>#VALUE!</v>
      </c>
      <c r="AL14" s="223" t="e">
        <f t="shared" si="4"/>
        <v>#VALUE!</v>
      </c>
    </row>
    <row r="15" spans="1:39" ht="20.25" customHeight="1" thickBot="1" x14ac:dyDescent="0.35">
      <c r="C15" s="259"/>
      <c r="D15" s="475" t="s">
        <v>569</v>
      </c>
      <c r="E15" s="474" t="str">
        <f>IF(AND(ISNUMBER($Z$2),$Z$2&gt;0),$Z$2,"")</f>
        <v/>
      </c>
      <c r="F15" s="473" t="s">
        <v>424</v>
      </c>
      <c r="G15" s="252"/>
      <c r="H15" s="628" t="s">
        <v>426</v>
      </c>
      <c r="I15" s="629"/>
      <c r="J15" s="629"/>
      <c r="K15" s="629"/>
      <c r="L15" s="636" t="str">
        <f>IF(OR(AI1&lt;0,AI1&gt;Z3),"ERROR",IF(AI1=0,"",AI1))</f>
        <v/>
      </c>
      <c r="M15" s="636"/>
      <c r="N15" s="442" t="str">
        <f>IF(L15="ERROR","","ha")</f>
        <v>ha</v>
      </c>
      <c r="P15" s="252"/>
      <c r="Q15" s="252"/>
      <c r="R15" s="252"/>
      <c r="S15" s="252"/>
      <c r="T15" s="252"/>
      <c r="X15" s="229" t="str">
        <f>'Selección final metodología'!A14</f>
        <v>Cedrus atlantica</v>
      </c>
      <c r="Y15" s="394">
        <f>'Selección final metodología'!B14</f>
        <v>0.34624258854033912</v>
      </c>
      <c r="Z15" s="394">
        <f>'Selección final metodología'!C14</f>
        <v>0.63416449134559993</v>
      </c>
      <c r="AA15" s="394">
        <f>'Selección final metodología'!D14</f>
        <v>1.2964681323565146</v>
      </c>
      <c r="AB15" s="394">
        <f>'Selección final metodología'!E14</f>
        <v>2.8776869027198626</v>
      </c>
      <c r="AC15" s="394">
        <f>'Selección final metodología'!F14</f>
        <v>3.4048640619376549</v>
      </c>
      <c r="AD15" s="313" t="str">
        <f>'Selección final metodología'!G14</f>
        <v>Asimilación</v>
      </c>
      <c r="AF15" s="265">
        <f t="shared" si="2"/>
        <v>0</v>
      </c>
      <c r="AG15" s="265" t="str">
        <f t="shared" si="5"/>
        <v/>
      </c>
      <c r="AH15" s="263" t="e">
        <f t="shared" si="0"/>
        <v>#N/A</v>
      </c>
      <c r="AI15" s="226" t="e">
        <f t="shared" si="1"/>
        <v>#N/A</v>
      </c>
      <c r="AJ15" s="226" t="e">
        <f t="shared" si="6"/>
        <v>#N/A</v>
      </c>
      <c r="AK15" s="243" t="e">
        <f t="shared" si="3"/>
        <v>#VALUE!</v>
      </c>
      <c r="AL15" s="223" t="e">
        <f t="shared" si="4"/>
        <v>#VALUE!</v>
      </c>
    </row>
    <row r="16" spans="1:39" ht="20.25" hidden="1" customHeight="1" x14ac:dyDescent="0.3">
      <c r="C16" s="252"/>
      <c r="G16" s="376" t="str">
        <f>IF(L15="ERROR","Revise las superficies de plantación consideradas en las opciones A y B.","")</f>
        <v/>
      </c>
      <c r="H16" s="252"/>
      <c r="P16" s="252"/>
      <c r="Q16" s="252"/>
      <c r="R16" s="252"/>
      <c r="S16" s="252"/>
      <c r="T16" s="252"/>
      <c r="X16" s="229" t="str">
        <f>'Selección final metodología'!A15</f>
        <v>Celtis australis</v>
      </c>
      <c r="Y16" s="394">
        <f>'Selección final metodología'!B15</f>
        <v>0.28554224648832599</v>
      </c>
      <c r="Z16" s="394">
        <f>'Selección final metodología'!C15</f>
        <v>0.72002933854517226</v>
      </c>
      <c r="AA16" s="394">
        <f>'Selección final metodología'!D15</f>
        <v>1.0064449533150317</v>
      </c>
      <c r="AB16" s="394">
        <f>'Selección final metodología'!E15</f>
        <v>1.44499968749023</v>
      </c>
      <c r="AC16" s="394">
        <f>'Selección final metodología'!F15</f>
        <v>1.8956012546262551</v>
      </c>
      <c r="AD16" s="313" t="str">
        <f>'Selección final metodología'!G15</f>
        <v>Asimilación</v>
      </c>
      <c r="AF16" s="265">
        <f t="shared" si="2"/>
        <v>0</v>
      </c>
      <c r="AG16" s="265" t="str">
        <f t="shared" si="5"/>
        <v/>
      </c>
      <c r="AH16" s="263" t="e">
        <f t="shared" si="0"/>
        <v>#N/A</v>
      </c>
      <c r="AI16" s="226" t="e">
        <f t="shared" si="1"/>
        <v>#N/A</v>
      </c>
      <c r="AJ16" s="226" t="e">
        <f t="shared" si="6"/>
        <v>#N/A</v>
      </c>
      <c r="AK16" s="243" t="e">
        <f t="shared" si="3"/>
        <v>#VALUE!</v>
      </c>
      <c r="AL16" s="223" t="e">
        <f t="shared" si="4"/>
        <v>#VALUE!</v>
      </c>
    </row>
    <row r="17" spans="3:42" ht="9.75" customHeight="1" x14ac:dyDescent="0.3">
      <c r="C17" s="252"/>
      <c r="D17" s="252"/>
      <c r="E17" s="252"/>
      <c r="F17" s="252"/>
      <c r="G17" s="252"/>
      <c r="H17" s="252"/>
      <c r="P17" s="252"/>
      <c r="Q17" s="252"/>
      <c r="R17" s="252"/>
      <c r="S17" s="252"/>
      <c r="T17" s="252"/>
      <c r="X17" s="229" t="str">
        <f>'Selección final metodología'!A16</f>
        <v>Chamaecyparis lawsoniana</v>
      </c>
      <c r="Y17" s="394">
        <f>'Selección final metodología'!B16</f>
        <v>7.2902029632532592E-3</v>
      </c>
      <c r="Z17" s="394">
        <f>'Selección final metodología'!C16</f>
        <v>9.1127537040665719E-3</v>
      </c>
      <c r="AA17" s="394">
        <f>'Selección final metodología'!D16</f>
        <v>1.0935304444879886E-2</v>
      </c>
      <c r="AB17" s="394">
        <f>'Selección final metodología'!E16</f>
        <v>1.2757855185693201E-2</v>
      </c>
      <c r="AC17" s="394">
        <f>'Selección final metodología'!F16</f>
        <v>1.4580405926506518E-2</v>
      </c>
      <c r="AD17" s="313" t="str">
        <f>'Selección final metodología'!G16</f>
        <v>Tabla 201 del IFN3 y Anexo 2 (frondosas) IFN1 (2)</v>
      </c>
      <c r="AF17" s="265">
        <f t="shared" si="2"/>
        <v>0</v>
      </c>
      <c r="AG17" s="265" t="str">
        <f t="shared" si="5"/>
        <v/>
      </c>
      <c r="AH17" s="263" t="e">
        <f t="shared" si="0"/>
        <v>#N/A</v>
      </c>
      <c r="AI17" s="226" t="e">
        <f t="shared" si="1"/>
        <v>#N/A</v>
      </c>
      <c r="AJ17" s="226" t="e">
        <f t="shared" si="6"/>
        <v>#N/A</v>
      </c>
      <c r="AK17" s="243" t="e">
        <f>IF(OR($Z$2-AG17=30,$Z$2-AG17&lt;35),AH17,IF(OR($Z$2-AG17=35,AND($Z$2-AG17&lt;40,$Z$2-AG17&gt;35)),AI17,AJ17))</f>
        <v>#VALUE!</v>
      </c>
      <c r="AL17" s="223" t="e">
        <f t="shared" si="4"/>
        <v>#VALUE!</v>
      </c>
    </row>
    <row r="18" spans="3:42" ht="27.75" customHeight="1" x14ac:dyDescent="0.3">
      <c r="C18" s="252"/>
      <c r="D18" s="612" t="s">
        <v>93</v>
      </c>
      <c r="E18" s="634" t="s">
        <v>515</v>
      </c>
      <c r="F18" s="612" t="s">
        <v>516</v>
      </c>
      <c r="G18" s="614" t="s">
        <v>366</v>
      </c>
      <c r="H18" s="615"/>
      <c r="J18" s="671" t="s">
        <v>588</v>
      </c>
      <c r="K18" s="671"/>
      <c r="L18" s="671"/>
      <c r="M18" s="671"/>
      <c r="N18" s="671"/>
      <c r="O18" s="671"/>
      <c r="P18" s="671"/>
      <c r="Q18" s="671"/>
      <c r="R18" s="671"/>
      <c r="S18" s="671"/>
      <c r="T18" s="671"/>
      <c r="X18" s="229" t="str">
        <f>'Selección final metodología'!A17</f>
        <v>Cornus sanguinea</v>
      </c>
      <c r="Y18" s="394">
        <f>'Selección final metodología'!B17</f>
        <v>4.2905184381875593E-2</v>
      </c>
      <c r="Z18" s="394">
        <f>'Selección final metodología'!C17</f>
        <v>0.11203292161465764</v>
      </c>
      <c r="AA18" s="394">
        <f>'Selección final metodología'!D17</f>
        <v>0.20516585167863827</v>
      </c>
      <c r="AB18" s="394">
        <f>'Selección final metodología'!E17</f>
        <v>0.34790001540782683</v>
      </c>
      <c r="AC18" s="394">
        <f>'Selección final metodología'!F17</f>
        <v>0.39760001760894487</v>
      </c>
      <c r="AD18" s="313" t="str">
        <f>'Selección final metodología'!G17</f>
        <v>Asimilación</v>
      </c>
      <c r="AF18" s="265">
        <f t="shared" si="2"/>
        <v>0</v>
      </c>
      <c r="AG18" s="265" t="str">
        <f t="shared" si="5"/>
        <v/>
      </c>
      <c r="AH18" s="263" t="e">
        <f t="shared" si="0"/>
        <v>#N/A</v>
      </c>
      <c r="AI18" s="226" t="e">
        <f t="shared" si="1"/>
        <v>#N/A</v>
      </c>
      <c r="AJ18" s="226" t="e">
        <f t="shared" si="6"/>
        <v>#N/A</v>
      </c>
      <c r="AK18" s="243" t="e">
        <f t="shared" si="3"/>
        <v>#VALUE!</v>
      </c>
      <c r="AL18" s="223" t="e">
        <f t="shared" si="4"/>
        <v>#VALUE!</v>
      </c>
    </row>
    <row r="19" spans="3:42" ht="32.25" customHeight="1" x14ac:dyDescent="0.3">
      <c r="C19" s="252"/>
      <c r="D19" s="613"/>
      <c r="E19" s="635"/>
      <c r="F19" s="613"/>
      <c r="G19" s="281" t="s">
        <v>528</v>
      </c>
      <c r="H19" s="281" t="s">
        <v>527</v>
      </c>
      <c r="J19" s="671"/>
      <c r="K19" s="671"/>
      <c r="L19" s="671"/>
      <c r="M19" s="671"/>
      <c r="N19" s="671"/>
      <c r="O19" s="671"/>
      <c r="P19" s="671"/>
      <c r="Q19" s="671"/>
      <c r="R19" s="671"/>
      <c r="S19" s="671"/>
      <c r="T19" s="671"/>
      <c r="X19" s="229" t="str">
        <f>'Selección final metodología'!A18</f>
        <v>Corylus avellana</v>
      </c>
      <c r="Y19" s="394">
        <f>'Selección final metodología'!B18</f>
        <v>7.8352200436330038E-2</v>
      </c>
      <c r="Z19" s="394">
        <f>'Selección final metodología'!C18</f>
        <v>9.7940250545412541E-2</v>
      </c>
      <c r="AA19" s="394">
        <f>'Selección final metodología'!D18</f>
        <v>0.11752830065449504</v>
      </c>
      <c r="AB19" s="394">
        <f>'Selección final metodología'!E18</f>
        <v>0.13711635076357756</v>
      </c>
      <c r="AC19" s="394">
        <f>'Selección final metodología'!F18</f>
        <v>0.15670440087266008</v>
      </c>
      <c r="AD19" s="313" t="str">
        <f>'Selección final metodología'!G18</f>
        <v>Tabla 201 del IFN3 y Anexo 2 (frondosas) IFN1 (2)</v>
      </c>
      <c r="AF19" s="265">
        <f>E34</f>
        <v>0</v>
      </c>
      <c r="AG19" s="265" t="str">
        <f t="shared" si="5"/>
        <v/>
      </c>
      <c r="AH19" s="263" t="e">
        <f t="shared" si="0"/>
        <v>#N/A</v>
      </c>
      <c r="AI19" s="226" t="e">
        <f t="shared" si="1"/>
        <v>#N/A</v>
      </c>
      <c r="AJ19" s="226" t="e">
        <f t="shared" si="6"/>
        <v>#N/A</v>
      </c>
      <c r="AK19" s="243" t="e">
        <f t="shared" si="3"/>
        <v>#VALUE!</v>
      </c>
      <c r="AL19" s="223" t="e">
        <f t="shared" si="4"/>
        <v>#VALUE!</v>
      </c>
    </row>
    <row r="20" spans="3:42" ht="19.5" customHeight="1" x14ac:dyDescent="0.3">
      <c r="C20" s="252"/>
      <c r="D20" s="364"/>
      <c r="E20" s="366"/>
      <c r="F20" s="367"/>
      <c r="G20" s="387" t="str">
        <f t="shared" ref="G20:G25" si="7">IF(ISNUMBER(AK5),AK5,"")</f>
        <v/>
      </c>
      <c r="H20" s="431" t="str">
        <f t="shared" ref="H20:H25" si="8">IF(ISNUMBER(AL5),AL5,"")</f>
        <v/>
      </c>
      <c r="P20" s="550" t="s">
        <v>443</v>
      </c>
      <c r="Q20" s="550"/>
      <c r="R20" s="551"/>
      <c r="S20" s="266">
        <f>IF(ISNUMBER(SUM(H20:H34)),SUM(H20:H34),"")</f>
        <v>0</v>
      </c>
      <c r="T20" s="249" t="s">
        <v>360</v>
      </c>
      <c r="X20" s="229" t="str">
        <f>'Selección final metodología'!A19</f>
        <v>Crataegus spp.</v>
      </c>
      <c r="Y20" s="394">
        <f>'Selección final metodología'!B19</f>
        <v>4.2905184381875593E-2</v>
      </c>
      <c r="Z20" s="394">
        <f>'Selección final metodología'!C19</f>
        <v>0.11203292161465764</v>
      </c>
      <c r="AA20" s="394">
        <f>'Selección final metodología'!D19</f>
        <v>0.20516585167863827</v>
      </c>
      <c r="AB20" s="394">
        <f>'Selección final metodología'!E19</f>
        <v>0.34790001540782683</v>
      </c>
      <c r="AC20" s="394">
        <f>'Selección final metodología'!F19</f>
        <v>0.39760001760894487</v>
      </c>
      <c r="AD20" s="313" t="str">
        <f>'Selección final metodología'!G19</f>
        <v>Tabla 201 del IFN3 y Anexo 2 (frondosas) IFN1 (2)</v>
      </c>
    </row>
    <row r="21" spans="3:42" ht="19.5" customHeight="1" x14ac:dyDescent="0.3">
      <c r="C21" s="252"/>
      <c r="D21" s="364"/>
      <c r="E21" s="366"/>
      <c r="F21" s="367"/>
      <c r="G21" s="387" t="str">
        <f t="shared" si="7"/>
        <v/>
      </c>
      <c r="H21" s="431" t="str">
        <f t="shared" si="8"/>
        <v/>
      </c>
      <c r="P21" s="550"/>
      <c r="Q21" s="550"/>
      <c r="R21" s="551"/>
      <c r="S21" s="266" t="str">
        <f>IF(AND(ISNUMBER(S20/AI1),AI1&gt;0,AI1&lt;=Z3),S20/AI1,IF(S20=0,"","ERROR"))</f>
        <v/>
      </c>
      <c r="T21" s="249" t="s">
        <v>361</v>
      </c>
      <c r="V21" s="421" t="s">
        <v>365</v>
      </c>
      <c r="X21" s="229" t="str">
        <f>'Selección final metodología'!A20</f>
        <v>Cupressus arizonica</v>
      </c>
      <c r="Y21" s="394">
        <f>'Selección final metodología'!B20</f>
        <v>3.1829804580021943E-2</v>
      </c>
      <c r="Z21" s="394">
        <f>'Selección final metodología'!C20</f>
        <v>4.8315700463393098E-2</v>
      </c>
      <c r="AA21" s="394">
        <f>'Selección final metodología'!D20</f>
        <v>5.797884055607172E-2</v>
      </c>
      <c r="AB21" s="394">
        <f>'Selección final metodología'!E20</f>
        <v>0.11616913219309503</v>
      </c>
      <c r="AC21" s="394">
        <f>'Selección final metodología'!F20</f>
        <v>0.14741916710201577</v>
      </c>
      <c r="AD21" s="313" t="str">
        <f>'Selección final metodología'!G20</f>
        <v>Asimilación</v>
      </c>
    </row>
    <row r="22" spans="3:42" ht="16.5" customHeight="1" x14ac:dyDescent="0.3">
      <c r="D22" s="364"/>
      <c r="E22" s="366"/>
      <c r="F22" s="367"/>
      <c r="G22" s="387" t="str">
        <f t="shared" si="7"/>
        <v/>
      </c>
      <c r="H22" s="431" t="str">
        <f t="shared" si="8"/>
        <v/>
      </c>
      <c r="P22" s="378"/>
      <c r="Q22" s="378"/>
      <c r="R22" s="259"/>
      <c r="S22" s="377" t="str">
        <f>IF(S21="ERROR","Revise las superficies de plantación consideradas en las opciones A y B.","")</f>
        <v/>
      </c>
      <c r="X22" s="229" t="str">
        <f>'Selección final metodología'!A21</f>
        <v>Cupressus macrocarpa</v>
      </c>
      <c r="Y22" s="394">
        <f>'Selección final metodología'!B21</f>
        <v>3.1829804580021943E-2</v>
      </c>
      <c r="Z22" s="394">
        <f>'Selección final metodología'!C21</f>
        <v>4.8315700463393098E-2</v>
      </c>
      <c r="AA22" s="394">
        <f>'Selección final metodología'!D21</f>
        <v>5.797884055607172E-2</v>
      </c>
      <c r="AB22" s="394">
        <f>'Selección final metodología'!E21</f>
        <v>0.11616913219309503</v>
      </c>
      <c r="AC22" s="394">
        <f>'Selección final metodología'!F21</f>
        <v>0.14741916710201577</v>
      </c>
      <c r="AD22" s="313" t="str">
        <f>'Selección final metodología'!G21</f>
        <v>Asimilación</v>
      </c>
    </row>
    <row r="23" spans="3:42" ht="16.5" customHeight="1" thickBot="1" x14ac:dyDescent="0.35">
      <c r="D23" s="364"/>
      <c r="E23" s="366"/>
      <c r="F23" s="367"/>
      <c r="G23" s="387" t="str">
        <f t="shared" si="7"/>
        <v/>
      </c>
      <c r="H23" s="431" t="str">
        <f t="shared" si="8"/>
        <v/>
      </c>
      <c r="X23" s="229" t="str">
        <f>'Selección final metodología'!A22</f>
        <v>Cupressus sempervirens</v>
      </c>
      <c r="Y23" s="394">
        <f>'Selección final metodología'!B22</f>
        <v>3.1829804580021943E-2</v>
      </c>
      <c r="Z23" s="394">
        <f>'Selección final metodología'!C22</f>
        <v>4.8315700463393098E-2</v>
      </c>
      <c r="AA23" s="394">
        <f>'Selección final metodología'!D22</f>
        <v>5.797884055607172E-2</v>
      </c>
      <c r="AB23" s="394">
        <f>'Selección final metodología'!E22</f>
        <v>0.11616913219309503</v>
      </c>
      <c r="AC23" s="394">
        <f>'Selección final metodología'!F22</f>
        <v>0.14741916710201577</v>
      </c>
      <c r="AD23" s="313" t="str">
        <f>'Selección final metodología'!G22</f>
        <v>Asimilación</v>
      </c>
    </row>
    <row r="24" spans="3:42" ht="16.5" customHeight="1" x14ac:dyDescent="0.3">
      <c r="D24" s="364"/>
      <c r="E24" s="366"/>
      <c r="F24" s="367"/>
      <c r="G24" s="387" t="str">
        <f t="shared" si="7"/>
        <v/>
      </c>
      <c r="H24" s="431" t="str">
        <f t="shared" si="8"/>
        <v/>
      </c>
      <c r="N24" s="268">
        <v>1</v>
      </c>
      <c r="O24" s="669" t="s">
        <v>460</v>
      </c>
      <c r="P24" s="669"/>
      <c r="Q24" s="669"/>
      <c r="R24" s="669"/>
      <c r="S24" s="669"/>
      <c r="T24" s="670"/>
      <c r="X24" s="229" t="str">
        <f>'Selección final metodología'!A23</f>
        <v>Erica arborea (Canarias)</v>
      </c>
      <c r="Y24" s="394">
        <f>'Selección final metodología'!B23</f>
        <v>4.2905184381875593E-2</v>
      </c>
      <c r="Z24" s="394">
        <f>'Selección final metodología'!C23</f>
        <v>0.11203292161465764</v>
      </c>
      <c r="AA24" s="394">
        <f>'Selección final metodología'!D23</f>
        <v>0.20516585167863827</v>
      </c>
      <c r="AB24" s="394">
        <f>'Selección final metodología'!E23</f>
        <v>0.34790001540782683</v>
      </c>
      <c r="AC24" s="394">
        <f>'Selección final metodología'!F23</f>
        <v>0.39760001760894487</v>
      </c>
      <c r="AD24" s="313" t="str">
        <f>'Selección final metodología'!G23</f>
        <v>Tabla 201 del IFN3 y Anexo 2 (frondosas) IFN1 (2)</v>
      </c>
    </row>
    <row r="25" spans="3:42" ht="16.5" customHeight="1" x14ac:dyDescent="0.3">
      <c r="D25" s="365"/>
      <c r="E25" s="366"/>
      <c r="F25" s="368"/>
      <c r="G25" s="387" t="str">
        <f t="shared" si="7"/>
        <v/>
      </c>
      <c r="H25" s="431" t="str">
        <f t="shared" si="8"/>
        <v/>
      </c>
      <c r="N25" s="269">
        <v>2</v>
      </c>
      <c r="O25" s="653" t="s">
        <v>376</v>
      </c>
      <c r="P25" s="653"/>
      <c r="Q25" s="653"/>
      <c r="R25" s="653"/>
      <c r="S25" s="653"/>
      <c r="T25" s="654"/>
      <c r="X25" s="229" t="str">
        <f>'Selección final metodología'!A24</f>
        <v>Eucalyptus camaldulensis</v>
      </c>
      <c r="Y25" s="394">
        <f>'Selección final metodología'!B24</f>
        <v>0.40481930196049593</v>
      </c>
      <c r="Z25" s="394">
        <f>'Selección final metodología'!C24</f>
        <v>0.99657840558360089</v>
      </c>
      <c r="AA25" s="394">
        <f>'Selección final metodología'!D24</f>
        <v>1.5658280222622489</v>
      </c>
      <c r="AB25" s="394">
        <f>'Selección final metodología'!E24</f>
        <v>2.2347041313747185</v>
      </c>
      <c r="AC25" s="394">
        <f>'Selección final metodología'!F24</f>
        <v>3.5316719948964348</v>
      </c>
      <c r="AD25" s="313" t="str">
        <f>'Selección final metodología'!G24</f>
        <v>Tabla 201 del IFN3 y Anexo 2 (frondosas) IFN1 (2)</v>
      </c>
    </row>
    <row r="26" spans="3:42" ht="16.5" customHeight="1" x14ac:dyDescent="0.3">
      <c r="D26" s="365"/>
      <c r="E26" s="366"/>
      <c r="F26" s="368"/>
      <c r="G26" s="387" t="str">
        <f t="shared" ref="G26:G34" si="9">IF(ISNUMBER(AK11),AK11,"")</f>
        <v/>
      </c>
      <c r="H26" s="431" t="str">
        <f t="shared" ref="H26:H34" si="10">IF(ISNUMBER(AL11),AL11,"")</f>
        <v/>
      </c>
      <c r="N26" s="270"/>
      <c r="O26" s="653"/>
      <c r="P26" s="653"/>
      <c r="Q26" s="653"/>
      <c r="R26" s="653"/>
      <c r="S26" s="653"/>
      <c r="T26" s="654"/>
      <c r="X26" s="229" t="str">
        <f>'Selección final metodología'!A25</f>
        <v>Eucalyptus globulus</v>
      </c>
      <c r="Y26" s="394">
        <f>'Selección final metodología'!B25</f>
        <v>0.56958214626885495</v>
      </c>
      <c r="Z26" s="394">
        <f>'Selección final metodología'!C25</f>
        <v>1.3908497572587581</v>
      </c>
      <c r="AA26" s="394">
        <f>'Selección final metodología'!D25</f>
        <v>2.0361298403169146</v>
      </c>
      <c r="AB26" s="394">
        <f>'Selección final metodología'!E25</f>
        <v>2.9973328241580197</v>
      </c>
      <c r="AC26" s="394">
        <f>'Selección final metodología'!F25</f>
        <v>4.8736009360390691</v>
      </c>
      <c r="AD26" s="313" t="str">
        <f>'Selección final metodología'!G25</f>
        <v>Tabla 201 del IFN3 y Anexo 2 (frondosas) IFN1 (2)</v>
      </c>
    </row>
    <row r="27" spans="3:42" ht="16.5" customHeight="1" x14ac:dyDescent="0.3">
      <c r="D27" s="365"/>
      <c r="E27" s="366"/>
      <c r="F27" s="368"/>
      <c r="G27" s="387" t="str">
        <f t="shared" si="9"/>
        <v/>
      </c>
      <c r="H27" s="431" t="str">
        <f t="shared" si="10"/>
        <v/>
      </c>
      <c r="N27" s="271"/>
      <c r="O27" s="653"/>
      <c r="P27" s="653"/>
      <c r="Q27" s="653"/>
      <c r="R27" s="653"/>
      <c r="S27" s="653"/>
      <c r="T27" s="654"/>
      <c r="X27" s="229" t="str">
        <f>'Selección final metodología'!A26</f>
        <v>Fagus sylvatica</v>
      </c>
      <c r="Y27" s="394">
        <f>'Selección final metodología'!B26</f>
        <v>3.769774343225004E-3</v>
      </c>
      <c r="Z27" s="394">
        <f>'Selección final metodología'!C26</f>
        <v>2.2674170139378728E-2</v>
      </c>
      <c r="AA27" s="394">
        <f>'Selección final metodología'!D26</f>
        <v>2.720900416725448E-2</v>
      </c>
      <c r="AB27" s="394">
        <f>'Selección final metodología'!E26</f>
        <v>6.9703150798753E-2</v>
      </c>
      <c r="AC27" s="394">
        <f>'Selección final metodología'!F26</f>
        <v>0.22629552729785765</v>
      </c>
      <c r="AD27" s="313" t="str">
        <f>'Selección final metodología'!G26</f>
        <v>Tablas producción Madrigal (3)</v>
      </c>
    </row>
    <row r="28" spans="3:42" ht="16.5" customHeight="1" thickBot="1" x14ac:dyDescent="0.35">
      <c r="D28" s="365"/>
      <c r="E28" s="366"/>
      <c r="F28" s="368"/>
      <c r="G28" s="387" t="str">
        <f t="shared" si="9"/>
        <v/>
      </c>
      <c r="H28" s="431" t="str">
        <f t="shared" si="10"/>
        <v/>
      </c>
      <c r="N28" s="384"/>
      <c r="O28" s="667"/>
      <c r="P28" s="667"/>
      <c r="Q28" s="667"/>
      <c r="R28" s="667"/>
      <c r="S28" s="667"/>
      <c r="T28" s="668"/>
      <c r="U28" s="256"/>
      <c r="V28" s="256"/>
      <c r="W28" s="256"/>
      <c r="X28" s="229" t="str">
        <f>'Selección final metodología'!A27</f>
        <v>Fraxinus spp.</v>
      </c>
      <c r="Y28" s="394">
        <f>'Selección final metodología'!B27</f>
        <v>9.0997276417428483E-2</v>
      </c>
      <c r="Z28" s="394">
        <f>'Selección final metodología'!C27</f>
        <v>0.11374659552178558</v>
      </c>
      <c r="AA28" s="394">
        <f>'Selección final metodología'!D27</f>
        <v>0.18470565168801564</v>
      </c>
      <c r="AB28" s="394">
        <f>'Selección final metodología'!E27</f>
        <v>0.28736688910270414</v>
      </c>
      <c r="AC28" s="394">
        <f>'Selección final metodología'!F27</f>
        <v>0.32841930183166185</v>
      </c>
      <c r="AD28" s="313" t="str">
        <f>'Selección final metodología'!G27</f>
        <v>Tabla 201 del IFN3 y Anexo 2 (frondosas) IFN1 (2)</v>
      </c>
      <c r="AE28" s="256"/>
      <c r="AF28" s="256"/>
      <c r="AG28" s="256"/>
      <c r="AH28" s="256"/>
      <c r="AI28" s="256"/>
      <c r="AJ28" s="256"/>
      <c r="AK28" s="256"/>
      <c r="AL28" s="256"/>
      <c r="AM28" s="256"/>
      <c r="AN28" s="256"/>
      <c r="AO28" s="256"/>
      <c r="AP28" s="256"/>
    </row>
    <row r="29" spans="3:42" ht="16.5" customHeight="1" x14ac:dyDescent="0.3">
      <c r="D29" s="365"/>
      <c r="E29" s="366"/>
      <c r="F29" s="368"/>
      <c r="G29" s="387" t="str">
        <f t="shared" si="9"/>
        <v/>
      </c>
      <c r="H29" s="431" t="str">
        <f t="shared" si="10"/>
        <v/>
      </c>
      <c r="J29" s="254"/>
      <c r="K29" s="256"/>
      <c r="L29" s="256"/>
      <c r="M29" s="256"/>
      <c r="N29" s="256"/>
      <c r="O29" s="256"/>
      <c r="P29" s="256"/>
      <c r="Q29" s="256"/>
      <c r="R29" s="256"/>
      <c r="S29" s="256"/>
      <c r="T29" s="256"/>
      <c r="U29" s="256"/>
      <c r="V29" s="256"/>
      <c r="W29" s="256"/>
      <c r="X29" s="229" t="str">
        <f>'Selección final metodología'!A28</f>
        <v>Ilex aquifolium</v>
      </c>
      <c r="Y29" s="394">
        <f>'Selección final metodología'!B28</f>
        <v>3.1871348877880464E-2</v>
      </c>
      <c r="Z29" s="394">
        <f>'Selección final metodología'!C28</f>
        <v>3.9839186097350585E-2</v>
      </c>
      <c r="AA29" s="394">
        <f>'Selección final metodología'!D28</f>
        <v>4.7807023316820692E-2</v>
      </c>
      <c r="AB29" s="394">
        <f>'Selección final metodología'!E28</f>
        <v>8.388718973868918E-2</v>
      </c>
      <c r="AC29" s="394">
        <f>'Selección final metodología'!F28</f>
        <v>9.5871073987073341E-2</v>
      </c>
      <c r="AD29" s="313" t="str">
        <f>'Selección final metodología'!G28</f>
        <v>Tabla 201 del IFN3 y Anexo 2 (frondosas) IFN1 (2)</v>
      </c>
      <c r="AE29" s="256"/>
      <c r="AF29" s="256"/>
      <c r="AG29" s="256"/>
      <c r="AH29" s="256"/>
      <c r="AI29" s="256"/>
      <c r="AJ29" s="256"/>
      <c r="AK29" s="256"/>
      <c r="AL29" s="256"/>
      <c r="AM29" s="256"/>
      <c r="AN29" s="256"/>
      <c r="AO29" s="256"/>
      <c r="AP29" s="256"/>
    </row>
    <row r="30" spans="3:42" ht="16.5" customHeight="1" x14ac:dyDescent="0.3">
      <c r="D30" s="365"/>
      <c r="E30" s="366"/>
      <c r="F30" s="368"/>
      <c r="G30" s="387" t="str">
        <f t="shared" si="9"/>
        <v/>
      </c>
      <c r="H30" s="431" t="str">
        <f t="shared" si="10"/>
        <v/>
      </c>
      <c r="J30" s="254"/>
      <c r="K30" s="256"/>
      <c r="L30" s="256"/>
      <c r="M30" s="256"/>
      <c r="N30" s="256"/>
      <c r="O30" s="256"/>
      <c r="P30" s="256"/>
      <c r="Q30" s="256"/>
      <c r="R30" s="256"/>
      <c r="S30" s="256"/>
      <c r="T30" s="256"/>
      <c r="U30" s="256"/>
      <c r="V30" s="256"/>
      <c r="W30" s="256"/>
      <c r="X30" s="229" t="str">
        <f>'Selección final metodología'!A29</f>
        <v>Ilex canariensis</v>
      </c>
      <c r="Y30" s="394">
        <f>'Selección final metodología'!B29</f>
        <v>3.5895556554346862E-2</v>
      </c>
      <c r="Z30" s="394">
        <f>'Selección final metodología'!C29</f>
        <v>4.4869445692933579E-2</v>
      </c>
      <c r="AA30" s="394">
        <f>'Selección final metodología'!D29</f>
        <v>5.3843334831520297E-2</v>
      </c>
      <c r="AB30" s="394">
        <f>'Selección final metodología'!E29</f>
        <v>0.12009784588996364</v>
      </c>
      <c r="AC30" s="394">
        <f>'Selección final metodología'!F29</f>
        <v>0.13725468101710131</v>
      </c>
      <c r="AD30" s="313" t="str">
        <f>'Selección final metodología'!G29</f>
        <v>Tabla 201 del IFN3 y Anexo 2 (frondosas) IFN1 (2)</v>
      </c>
      <c r="AE30" s="256"/>
      <c r="AF30" s="256"/>
      <c r="AG30" s="256"/>
      <c r="AH30" s="256"/>
      <c r="AI30" s="256"/>
      <c r="AJ30" s="256"/>
      <c r="AK30" s="256"/>
      <c r="AL30" s="256"/>
      <c r="AM30" s="256"/>
      <c r="AN30" s="256"/>
      <c r="AO30" s="256"/>
      <c r="AP30" s="256"/>
    </row>
    <row r="31" spans="3:42" ht="16.5" customHeight="1" x14ac:dyDescent="0.3">
      <c r="D31" s="365"/>
      <c r="E31" s="366"/>
      <c r="F31" s="368"/>
      <c r="G31" s="387" t="str">
        <f t="shared" si="9"/>
        <v/>
      </c>
      <c r="H31" s="431" t="str">
        <f t="shared" si="10"/>
        <v/>
      </c>
      <c r="J31" s="255"/>
      <c r="K31" s="256"/>
      <c r="L31" s="256"/>
      <c r="M31" s="256"/>
      <c r="N31" s="256"/>
      <c r="O31" s="256"/>
      <c r="P31" s="256"/>
      <c r="Q31" s="256"/>
      <c r="R31" s="256"/>
      <c r="S31" s="256"/>
      <c r="T31" s="256"/>
      <c r="X31" s="229" t="str">
        <f>'Selección final metodología'!A30</f>
        <v>Juglans regia</v>
      </c>
      <c r="Y31" s="394">
        <f>'Selección final metodología'!B30</f>
        <v>0.1241181539518298</v>
      </c>
      <c r="Z31" s="394">
        <f>'Selección final metodología'!C30</f>
        <v>0.15514769243978724</v>
      </c>
      <c r="AA31" s="394">
        <f>'Selección final metodología'!D30</f>
        <v>0.18617723092774471</v>
      </c>
      <c r="AB31" s="394">
        <f>'Selección final metodología'!E30</f>
        <v>0.21720676941570213</v>
      </c>
      <c r="AC31" s="394">
        <f>'Selección final metodología'!F30</f>
        <v>0.24823630790365961</v>
      </c>
      <c r="AD31" s="313" t="str">
        <f>'Selección final metodología'!G30</f>
        <v>Asimilación</v>
      </c>
    </row>
    <row r="32" spans="3:42" ht="16.5" customHeight="1" x14ac:dyDescent="0.3">
      <c r="D32" s="365"/>
      <c r="E32" s="366"/>
      <c r="F32" s="368"/>
      <c r="G32" s="387" t="str">
        <f t="shared" si="9"/>
        <v/>
      </c>
      <c r="H32" s="431" t="str">
        <f t="shared" si="10"/>
        <v/>
      </c>
      <c r="J32" s="255"/>
      <c r="K32" s="256"/>
      <c r="L32" s="256"/>
      <c r="M32" s="256"/>
      <c r="N32" s="256"/>
      <c r="O32" s="256"/>
      <c r="P32" s="256"/>
      <c r="Q32" s="256"/>
      <c r="R32" s="256"/>
      <c r="S32" s="256"/>
      <c r="T32" s="256"/>
      <c r="X32" s="229" t="str">
        <f>'Selección final metodología'!A31</f>
        <v>Juniperus oxycedrus, J. communis</v>
      </c>
      <c r="Y32" s="394">
        <f>'Selección final metodología'!B31</f>
        <v>1.138475443544619E-2</v>
      </c>
      <c r="Z32" s="394">
        <f>'Selección final metodología'!C31</f>
        <v>1.4230943044307736E-2</v>
      </c>
      <c r="AA32" s="394">
        <f>'Selección final metodología'!D31</f>
        <v>1.7077131653169285E-2</v>
      </c>
      <c r="AB32" s="394">
        <f>'Selección final metodología'!E31</f>
        <v>1.9923320262030829E-2</v>
      </c>
      <c r="AC32" s="394">
        <f>'Selección final metodología'!F31</f>
        <v>2.276950887089238E-2</v>
      </c>
      <c r="AD32" s="313" t="str">
        <f>'Selección final metodología'!G31</f>
        <v>Tabla 201 del IFN3 y Anexo 2 (Coníferas) IFN1 (1)</v>
      </c>
    </row>
    <row r="33" spans="3:44" ht="16.5" customHeight="1" x14ac:dyDescent="0.3">
      <c r="D33" s="365"/>
      <c r="E33" s="366"/>
      <c r="F33" s="368"/>
      <c r="G33" s="387" t="str">
        <f t="shared" si="9"/>
        <v/>
      </c>
      <c r="H33" s="431" t="str">
        <f t="shared" si="10"/>
        <v/>
      </c>
      <c r="K33" s="256"/>
      <c r="L33" s="256"/>
      <c r="M33" s="256"/>
      <c r="N33" s="256"/>
      <c r="O33" s="256"/>
      <c r="P33" s="256"/>
      <c r="Q33" s="256"/>
      <c r="R33" s="256"/>
      <c r="S33" s="256"/>
      <c r="T33" s="256"/>
      <c r="X33" s="229" t="str">
        <f>'Selección final metodología'!A32</f>
        <v>Juniperus phoenicea</v>
      </c>
      <c r="Y33" s="394">
        <f>'Selección final metodología'!B32</f>
        <v>1.885541322108111E-2</v>
      </c>
      <c r="Z33" s="394">
        <f>'Selección final metodología'!C32</f>
        <v>2.3569266526351388E-2</v>
      </c>
      <c r="AA33" s="394">
        <f>'Selección final metodología'!D32</f>
        <v>2.8283119831621666E-2</v>
      </c>
      <c r="AB33" s="394">
        <f>'Selección final metodología'!E32</f>
        <v>3.2996973136891941E-2</v>
      </c>
      <c r="AC33" s="394">
        <f>'Selección final metodología'!F32</f>
        <v>3.7710826442162219E-2</v>
      </c>
      <c r="AD33" s="313" t="str">
        <f>'Selección final metodología'!G32</f>
        <v>Tabla 201 del IFN3 y Anexo 2 (Coníferas) IFN1 (1)</v>
      </c>
    </row>
    <row r="34" spans="3:44" ht="16.5" customHeight="1" x14ac:dyDescent="0.3">
      <c r="D34" s="365"/>
      <c r="E34" s="366"/>
      <c r="F34" s="368"/>
      <c r="G34" s="387" t="str">
        <f t="shared" si="9"/>
        <v/>
      </c>
      <c r="H34" s="431" t="str">
        <f t="shared" si="10"/>
        <v/>
      </c>
      <c r="X34" s="229" t="str">
        <f>'Selección final metodología'!A33</f>
        <v>Juniperus thurifera</v>
      </c>
      <c r="Y34" s="394">
        <f>'Selección final metodología'!B33</f>
        <v>1.3942374656015961E-2</v>
      </c>
      <c r="Z34" s="394">
        <f>'Selección final metodología'!C33</f>
        <v>1.742796832001995E-2</v>
      </c>
      <c r="AA34" s="394">
        <f>'Selección final metodología'!D33</f>
        <v>2.0913561984023939E-2</v>
      </c>
      <c r="AB34" s="394">
        <f>'Selección final metodología'!E33</f>
        <v>2.4399155648027929E-2</v>
      </c>
      <c r="AC34" s="394">
        <f>'Selección final metodología'!F33</f>
        <v>2.7884749312031921E-2</v>
      </c>
      <c r="AD34" s="313" t="str">
        <f>'Selección final metodología'!G33</f>
        <v>Tabla 201 del IFN3 y Anexo 2 (Coníferas) IFN1 (1)</v>
      </c>
    </row>
    <row r="35" spans="3:44" ht="11.25" customHeight="1" x14ac:dyDescent="0.3">
      <c r="X35" s="229" t="str">
        <f>'Selección final metodología'!A34</f>
        <v>Larix spp.</v>
      </c>
      <c r="Y35" s="394">
        <f>'Selección final metodología'!B34</f>
        <v>0.34382433153064573</v>
      </c>
      <c r="Z35" s="394">
        <f>'Selección final metodología'!C34</f>
        <v>0.42978041441330711</v>
      </c>
      <c r="AA35" s="394">
        <f>'Selección final metodología'!D34</f>
        <v>0.5157364972959686</v>
      </c>
      <c r="AB35" s="394">
        <f>'Selección final metodología'!E34</f>
        <v>0.60169258017863003</v>
      </c>
      <c r="AC35" s="394">
        <f>'Selección final metodología'!F34</f>
        <v>0.68764866306129147</v>
      </c>
      <c r="AD35" s="313" t="str">
        <f>'Selección final metodología'!G34</f>
        <v>Tabla 201 e Inventario de emisiones 1990-2012</v>
      </c>
    </row>
    <row r="36" spans="3:44" ht="23.25" customHeight="1" x14ac:dyDescent="0.3">
      <c r="C36" s="664" t="s">
        <v>536</v>
      </c>
      <c r="D36" s="630"/>
      <c r="E36" s="630"/>
      <c r="F36" s="630"/>
      <c r="G36" s="630"/>
      <c r="H36" s="630"/>
      <c r="I36" s="630"/>
      <c r="J36" s="630"/>
      <c r="K36" s="630"/>
      <c r="L36" s="630"/>
      <c r="M36" s="630"/>
      <c r="N36" s="630"/>
      <c r="O36" s="630"/>
      <c r="P36" s="630"/>
      <c r="Q36" s="630"/>
      <c r="R36" s="630"/>
      <c r="S36" s="630"/>
      <c r="T36" s="630"/>
      <c r="X36" s="229" t="str">
        <f>'Selección final metodología'!A35</f>
        <v>Laurus azorica</v>
      </c>
      <c r="Y36" s="394">
        <f>'Selección final metodología'!B35</f>
        <v>4.2905184381875593E-2</v>
      </c>
      <c r="Z36" s="394">
        <f>'Selección final metodología'!C35</f>
        <v>0.11203292161465764</v>
      </c>
      <c r="AA36" s="394">
        <f>'Selección final metodología'!D35</f>
        <v>0.20516585167863827</v>
      </c>
      <c r="AB36" s="394">
        <f>'Selección final metodología'!E35</f>
        <v>0.34790001540782683</v>
      </c>
      <c r="AC36" s="394">
        <f>'Selección final metodología'!F35</f>
        <v>0.39760001760894487</v>
      </c>
      <c r="AD36" s="313" t="str">
        <f>'Selección final metodología'!G35</f>
        <v>Asimilación</v>
      </c>
    </row>
    <row r="37" spans="3:44" ht="9" customHeight="1" thickBot="1" x14ac:dyDescent="0.35">
      <c r="C37" s="253"/>
      <c r="D37" s="253"/>
      <c r="E37" s="253"/>
      <c r="F37" s="253"/>
      <c r="G37" s="253"/>
      <c r="H37" s="253"/>
      <c r="I37" s="253"/>
      <c r="J37" s="253"/>
      <c r="K37" s="253"/>
      <c r="L37" s="253"/>
      <c r="M37" s="253"/>
      <c r="N37" s="253"/>
      <c r="O37" s="253"/>
      <c r="P37" s="253"/>
      <c r="Q37" s="253"/>
      <c r="R37" s="253"/>
      <c r="S37" s="253"/>
      <c r="T37" s="253"/>
      <c r="X37" s="229" t="str">
        <f>'Selección final metodología'!A36</f>
        <v>Laurus nobilis</v>
      </c>
      <c r="Y37" s="394">
        <f>'Selección final metodología'!B36</f>
        <v>4.2905184381875593E-2</v>
      </c>
      <c r="Z37" s="394">
        <f>'Selección final metodología'!C36</f>
        <v>0.11203292161465764</v>
      </c>
      <c r="AA37" s="394">
        <f>'Selección final metodología'!D36</f>
        <v>0.20516585167863827</v>
      </c>
      <c r="AB37" s="394">
        <f>'Selección final metodología'!E36</f>
        <v>0.34790001540782683</v>
      </c>
      <c r="AC37" s="394">
        <f>'Selección final metodología'!F36</f>
        <v>0.39760001760894487</v>
      </c>
      <c r="AD37" s="313" t="str">
        <f>'Selección final metodología'!G36</f>
        <v>Asimilación</v>
      </c>
    </row>
    <row r="38" spans="3:44" ht="20.25" customHeight="1" thickBot="1" x14ac:dyDescent="0.35">
      <c r="C38" s="259"/>
      <c r="D38" s="475" t="s">
        <v>569</v>
      </c>
      <c r="E38" s="474" t="str">
        <f>IF(AND(ISNUMBER($Z$2),$Z$2&gt;0),$Z$2,"")</f>
        <v/>
      </c>
      <c r="F38" s="473" t="s">
        <v>424</v>
      </c>
      <c r="G38" s="252"/>
      <c r="H38" s="628" t="s">
        <v>427</v>
      </c>
      <c r="I38" s="629"/>
      <c r="J38" s="629"/>
      <c r="K38" s="629"/>
      <c r="L38" s="666" t="str">
        <f>IF(OR(AI2&lt;0,AI2&gt;Z3),"ERROR",IF(AI2=0,"",AI2))</f>
        <v/>
      </c>
      <c r="M38" s="666"/>
      <c r="N38" s="473" t="str">
        <f>IF(L38="ERROR","","ha")</f>
        <v>ha</v>
      </c>
      <c r="O38" s="252"/>
      <c r="P38" s="252"/>
      <c r="Q38" s="252"/>
      <c r="R38" s="252"/>
      <c r="S38" s="252"/>
      <c r="T38" s="252"/>
      <c r="X38" s="229" t="str">
        <f>'Selección final metodología'!A37</f>
        <v>Malus sylvestris</v>
      </c>
      <c r="Y38" s="394">
        <f>'Selección final metodología'!B37</f>
        <v>0.14975536130234138</v>
      </c>
      <c r="Z38" s="394">
        <f>'Selección final metodología'!C37</f>
        <v>0.18719420162792669</v>
      </c>
      <c r="AA38" s="394">
        <f>'Selección final metodología'!D37</f>
        <v>0.22463304195351205</v>
      </c>
      <c r="AB38" s="394">
        <f>'Selección final metodología'!E37</f>
        <v>0.26207188227909739</v>
      </c>
      <c r="AC38" s="394">
        <f>'Selección final metodología'!F37</f>
        <v>0.29951072260468276</v>
      </c>
      <c r="AD38" s="313" t="str">
        <f>'Selección final metodología'!G37</f>
        <v>Asimilación</v>
      </c>
    </row>
    <row r="39" spans="3:44" ht="20.25" hidden="1" customHeight="1" x14ac:dyDescent="0.3">
      <c r="C39" s="252"/>
      <c r="G39" s="403" t="str">
        <f>IF(L38="ERROR","Revise las superficies de plantación consideradas en la opción A y B.","")</f>
        <v/>
      </c>
      <c r="H39" s="252"/>
      <c r="I39" s="252"/>
      <c r="J39" s="252"/>
      <c r="K39" s="252"/>
      <c r="L39" s="252"/>
      <c r="M39" s="252"/>
      <c r="N39" s="252"/>
      <c r="O39" s="252"/>
      <c r="P39" s="252"/>
      <c r="Q39" s="252"/>
      <c r="R39" s="252"/>
      <c r="S39" s="252"/>
      <c r="T39" s="252"/>
      <c r="X39" s="229" t="str">
        <f>'Selección final metodología'!A38</f>
        <v>Myrica faya</v>
      </c>
      <c r="Y39" s="394">
        <f>'Selección final metodología'!B38</f>
        <v>4.2905184381875593E-2</v>
      </c>
      <c r="Z39" s="394">
        <f>'Selección final metodología'!C38</f>
        <v>0.11203292161465764</v>
      </c>
      <c r="AA39" s="394">
        <f>'Selección final metodología'!D38</f>
        <v>0.20516585167863827</v>
      </c>
      <c r="AB39" s="394">
        <f>'Selección final metodología'!E38</f>
        <v>0.34790001540782683</v>
      </c>
      <c r="AC39" s="394">
        <f>'Selección final metodología'!F38</f>
        <v>0.39760001760894487</v>
      </c>
      <c r="AD39" s="313" t="str">
        <f>'Selección final metodología'!G38</f>
        <v>Asimilación</v>
      </c>
    </row>
    <row r="40" spans="3:44" ht="9.75" customHeight="1" x14ac:dyDescent="0.3">
      <c r="C40" s="252"/>
      <c r="D40" s="252"/>
      <c r="E40" s="252"/>
      <c r="F40" s="252"/>
      <c r="G40" s="252"/>
      <c r="H40" s="252"/>
      <c r="I40" s="252"/>
      <c r="J40" s="252"/>
      <c r="K40" s="252"/>
      <c r="L40" s="252"/>
      <c r="M40" s="252"/>
      <c r="N40" s="252"/>
      <c r="O40" s="252"/>
      <c r="P40" s="252"/>
      <c r="Q40" s="252"/>
      <c r="R40" s="252"/>
      <c r="S40" s="252"/>
      <c r="T40" s="252"/>
      <c r="X40" s="229" t="str">
        <f>'Selección final metodología'!A39</f>
        <v>Myrtus communis</v>
      </c>
      <c r="Y40" s="394">
        <f>'Selección final metodología'!B39</f>
        <v>4.2905184381875593E-2</v>
      </c>
      <c r="Z40" s="394">
        <f>'Selección final metodología'!C39</f>
        <v>0.11203292161465764</v>
      </c>
      <c r="AA40" s="394">
        <f>'Selección final metodología'!D39</f>
        <v>0.20516585167863827</v>
      </c>
      <c r="AB40" s="394">
        <f>'Selección final metodología'!E39</f>
        <v>0.34790001540782683</v>
      </c>
      <c r="AC40" s="394">
        <f>'Selección final metodología'!F39</f>
        <v>0.39760001760894487</v>
      </c>
      <c r="AD40" s="313" t="str">
        <f>'Selección final metodología'!G39</f>
        <v>Asimilación</v>
      </c>
    </row>
    <row r="41" spans="3:44" ht="16.5" customHeight="1" x14ac:dyDescent="0.3">
      <c r="D41" s="612" t="s">
        <v>93</v>
      </c>
      <c r="E41" s="612" t="s">
        <v>514</v>
      </c>
      <c r="F41" s="612" t="s">
        <v>518</v>
      </c>
      <c r="G41" s="612" t="s">
        <v>517</v>
      </c>
      <c r="H41" s="612" t="s">
        <v>519</v>
      </c>
      <c r="I41" s="665" t="s">
        <v>456</v>
      </c>
      <c r="J41" s="665"/>
      <c r="K41" s="665"/>
      <c r="L41" s="665"/>
      <c r="X41" s="229" t="str">
        <f>'Selección final metodología'!A40</f>
        <v>Olea europaea</v>
      </c>
      <c r="Y41" s="394">
        <f>'Selección final metodología'!B40</f>
        <v>3.8995053250978962E-2</v>
      </c>
      <c r="Z41" s="394">
        <f>'Selección final metodología'!C40</f>
        <v>4.8743816563723702E-2</v>
      </c>
      <c r="AA41" s="394">
        <f>'Selección final metodología'!D40</f>
        <v>8.4081899478263639E-2</v>
      </c>
      <c r="AB41" s="394">
        <f>'Selección final metodología'!E40</f>
        <v>9.8095549391307588E-2</v>
      </c>
      <c r="AC41" s="394">
        <f>'Selección final metodología'!F40</f>
        <v>0.11210919930435154</v>
      </c>
      <c r="AD41" s="313" t="str">
        <f>'Selección final metodología'!G40</f>
        <v>Tabla 201 del IFN3 y Anexo 2 (frondosas) IFN1 (2)</v>
      </c>
    </row>
    <row r="42" spans="3:44" ht="30" customHeight="1" x14ac:dyDescent="0.3">
      <c r="D42" s="613"/>
      <c r="E42" s="613"/>
      <c r="F42" s="613"/>
      <c r="G42" s="613"/>
      <c r="H42" s="613"/>
      <c r="I42" s="281" t="s">
        <v>441</v>
      </c>
      <c r="J42" s="281" t="s">
        <v>529</v>
      </c>
      <c r="K42" s="663" t="s">
        <v>530</v>
      </c>
      <c r="L42" s="663"/>
      <c r="X42" s="229" t="str">
        <f>'Selección final metodología'!A41</f>
        <v>Phillyrea latifolia</v>
      </c>
      <c r="Y42" s="394">
        <f>'Selección final metodología'!B41</f>
        <v>2.5342670549338638E-2</v>
      </c>
      <c r="Z42" s="394">
        <f>'Selección final metodología'!C41</f>
        <v>3.1678338186673295E-2</v>
      </c>
      <c r="AA42" s="394">
        <f>'Selección final metodología'!D41</f>
        <v>8.9359935740666363E-2</v>
      </c>
      <c r="AB42" s="394">
        <f>'Selección final metodología'!E41</f>
        <v>0.17131551853775909</v>
      </c>
      <c r="AC42" s="394">
        <f>'Selección final metodología'!F41</f>
        <v>0.19578916404315322</v>
      </c>
      <c r="AD42" s="313" t="str">
        <f>'Selección final metodología'!G41</f>
        <v>Tabla 201 del IFN3 y Anexo 2 (frondosas) IFN1 (2)</v>
      </c>
      <c r="AH42" s="213"/>
      <c r="AI42" s="213"/>
      <c r="AJ42" s="213"/>
      <c r="AN42" s="235" t="s">
        <v>531</v>
      </c>
      <c r="AO42" s="646" t="s">
        <v>532</v>
      </c>
      <c r="AP42" s="647"/>
      <c r="AQ42" s="647"/>
      <c r="AR42" s="648"/>
    </row>
    <row r="43" spans="3:44" ht="16.5" customHeight="1" x14ac:dyDescent="0.3">
      <c r="D43" s="364"/>
      <c r="E43" s="366"/>
      <c r="F43" s="369"/>
      <c r="G43" s="370"/>
      <c r="H43" s="367"/>
      <c r="I43" s="387" t="str">
        <f t="shared" ref="I43:I57" si="11">IF(ISNUMBER(AO44),AO44,"")</f>
        <v/>
      </c>
      <c r="J43" s="426" t="str">
        <f t="shared" ref="J43:J57" si="12">IF(ISNUMBER(AQ44),AQ44,"")</f>
        <v/>
      </c>
      <c r="K43" s="651" t="str">
        <f t="shared" ref="K43:K57" si="13">IF(ISNUMBER(AR44),AR44,"")</f>
        <v/>
      </c>
      <c r="L43" s="652"/>
      <c r="P43" s="550" t="s">
        <v>444</v>
      </c>
      <c r="Q43" s="550"/>
      <c r="R43" s="551"/>
      <c r="S43" s="266">
        <f>SUM(J43:J57)</f>
        <v>0</v>
      </c>
      <c r="T43" s="249" t="s">
        <v>360</v>
      </c>
      <c r="U43" s="256"/>
      <c r="V43" s="256"/>
      <c r="W43" s="257"/>
      <c r="X43" s="229" t="str">
        <f>'Selección final metodología'!A42</f>
        <v>Phoenix spp.</v>
      </c>
      <c r="Y43" s="394">
        <f>'Selección final metodología'!B42</f>
        <v>0.3086707442568718</v>
      </c>
      <c r="Z43" s="394">
        <f>'Selección final metodología'!C42</f>
        <v>0.57498705887181834</v>
      </c>
      <c r="AA43" s="394">
        <f>'Selección final metodología'!D42</f>
        <v>0.89565940633103525</v>
      </c>
      <c r="AB43" s="394">
        <f>'Selección final metodología'!E42</f>
        <v>1.2444439508529392</v>
      </c>
      <c r="AC43" s="394">
        <f>'Selección final metodología'!F42</f>
        <v>1.3659285306119766</v>
      </c>
      <c r="AD43" s="313" t="str">
        <f>'Selección final metodología'!G42</f>
        <v>Asimilación</v>
      </c>
      <c r="AF43" s="264" t="s">
        <v>454</v>
      </c>
      <c r="AG43" s="264" t="s">
        <v>453</v>
      </c>
      <c r="AH43" s="227" t="s">
        <v>335</v>
      </c>
      <c r="AI43" s="227" t="s">
        <v>329</v>
      </c>
      <c r="AJ43" s="227" t="s">
        <v>330</v>
      </c>
      <c r="AK43" s="388" t="s">
        <v>331</v>
      </c>
      <c r="AL43" s="388" t="s">
        <v>332</v>
      </c>
      <c r="AM43" s="388" t="s">
        <v>541</v>
      </c>
      <c r="AN43" s="234" t="s">
        <v>368</v>
      </c>
      <c r="AO43" s="234" t="s">
        <v>369</v>
      </c>
      <c r="AP43" s="278" t="s">
        <v>370</v>
      </c>
      <c r="AQ43" s="278" t="s">
        <v>367</v>
      </c>
      <c r="AR43" s="374" t="s">
        <v>442</v>
      </c>
    </row>
    <row r="44" spans="3:44" ht="16.5" customHeight="1" x14ac:dyDescent="0.3">
      <c r="D44" s="364"/>
      <c r="E44" s="366"/>
      <c r="F44" s="369"/>
      <c r="G44" s="370"/>
      <c r="H44" s="367"/>
      <c r="I44" s="387" t="str">
        <f t="shared" si="11"/>
        <v/>
      </c>
      <c r="J44" s="426" t="str">
        <f t="shared" si="12"/>
        <v/>
      </c>
      <c r="K44" s="651" t="str">
        <f t="shared" si="13"/>
        <v/>
      </c>
      <c r="L44" s="652"/>
      <c r="P44" s="550"/>
      <c r="Q44" s="550"/>
      <c r="R44" s="551"/>
      <c r="S44" s="266" t="str">
        <f>IF(AND(ISNUMBER(S43/AI2),AI2&gt;0,AI2&lt;=Z3),S43/AI2,IF(S43=0,"","ERROR"))</f>
        <v/>
      </c>
      <c r="T44" s="249" t="s">
        <v>361</v>
      </c>
      <c r="U44" s="256"/>
      <c r="V44" s="256"/>
      <c r="W44" s="257"/>
      <c r="X44" s="229" t="str">
        <f>'Selección final metodología'!A43</f>
        <v>Picea abies</v>
      </c>
      <c r="Y44" s="394">
        <f>'Selección final metodología'!B43</f>
        <v>0.34624258854033912</v>
      </c>
      <c r="Z44" s="394">
        <f>'Selección final metodología'!C43</f>
        <v>0.63416449134559993</v>
      </c>
      <c r="AA44" s="394">
        <f>'Selección final metodología'!D43</f>
        <v>1.2964681323565146</v>
      </c>
      <c r="AB44" s="394">
        <f>'Selección final metodología'!E43</f>
        <v>2.8776869027198626</v>
      </c>
      <c r="AC44" s="394">
        <f>'Selección final metodología'!F43</f>
        <v>3.4048640619376549</v>
      </c>
      <c r="AD44" s="313" t="str">
        <f>'Selección final metodología'!G43</f>
        <v>Asimilación</v>
      </c>
      <c r="AF44" s="265">
        <f>E43</f>
        <v>0</v>
      </c>
      <c r="AG44" s="265" t="str">
        <f>IF(ISNUMBER(E43),AF44-$AB$2,"")</f>
        <v/>
      </c>
      <c r="AH44" s="225" t="e">
        <f t="shared" ref="AH44:AH58" si="14">IF((VLOOKUP(D43,$X$4:$AC$86,2,0)*(F43-AG44)/20)&gt;0,(VLOOKUP(D43,$X$4:$AC$86,2,0)*(F43-AG44)/20),0)</f>
        <v>#N/A</v>
      </c>
      <c r="AI44" s="225" t="e">
        <f t="shared" ref="AI44:AI58" si="15">IF((VLOOKUP(D43,$X$4:$AC$86,2,0)+(F43-AG44-20)*((VLOOKUP(D43,$X$4:$AC$86,3,0)-VLOOKUP(D43,$X$4:$AC$86,2,0))/5))&gt;0,(VLOOKUP(D43,$X$4:$AC$86,2,0)+(F43-AG44-20)*((VLOOKUP(D43,$X$4:$AC$86,3,0)-VLOOKUP(D43,$X$4:$AC$86,2,0))/5)),0)</f>
        <v>#N/A</v>
      </c>
      <c r="AJ44" s="225" t="e">
        <f t="shared" ref="AJ44:AJ58" si="16">IF((VLOOKUP(D43,$X$4:$AC$86,3,0)+(F43-AG44-25)*((VLOOKUP(D43,$X$4:$AC$86,4,0)-VLOOKUP(D43,$X$4:$AC$86,3,0))/5)&gt;0),(VLOOKUP(D43,$X$4:$AC$86,3,0)+(F43-AG44-25)*((VLOOKUP(D43,$X$4:$AC$86,4,0)-VLOOKUP(D43,$X$4:$AC$86,3,0))/5)),0)</f>
        <v>#N/A</v>
      </c>
      <c r="AK44" s="225" t="e">
        <f t="shared" ref="AK44:AK58" si="17">IF((VLOOKUP(D43,$X$4:$AC$86,4,0)+(F43-AG44-30)*((VLOOKUP(D43,$X$4:$AC$86,5,0)-VLOOKUP(D43,$X$4:$AC$86,4,0))/5)&gt;0),(VLOOKUP(D43,$X$4:$AC$86,4,0)+(F43-AG44-30)*((VLOOKUP(D43,$X$4:$AC$86,5,0)-VLOOKUP(D43,$X$4:$AC$86,4,0))/5)),0)</f>
        <v>#N/A</v>
      </c>
      <c r="AL44" s="225" t="e">
        <f t="shared" ref="AL44:AL58" si="18">IF((VLOOKUP(D43,$X$4:$AC$86,5,0)+(F43-AG44-35)*((VLOOKUP(D43,$X$4:$AC$86,6,0)-VLOOKUP(D43,$X$4:$AC$86,5,0))/5)&gt;0),(VLOOKUP(D43,$X$4:$AC$86,5,0)+(F43-AG44-35)*((VLOOKUP(D43,$X$4:$AC$86,6,0)-VLOOKUP(D43,$X$4:$AC$86,5,0))/5)),0)</f>
        <v>#N/A</v>
      </c>
      <c r="AM44" s="225" t="e">
        <f t="shared" ref="AM44:AM58" si="19">IF((VLOOKUP(D43,$X$4:$AC$86,6,0)*(F43-AG44)/40)&gt;0,(VLOOKUP(D43,$X$4:$AC$86,6,0)*(F43-AG44)/40),0)</f>
        <v>#N/A</v>
      </c>
      <c r="AN44" s="243" t="e">
        <f>IF(F43-AG44&lt;20,AH44,IF(OR(F43-AG44=20,AND(F43-AG44&lt;25,F43-AG44&gt;20)),AI44,IF(OR(F43-AG44=25,AND(F43-AG44&lt;30,F43-AG44&gt;25)),AJ44,IF(OR(F43-AG44=30,AND(F43-AG44&lt;35,F43-AG44&gt;30)),AK44,IF(OR(F43-AG44=35,AND(F43-AG44&lt;40,F43-AG44&gt;35)),AL44,AM44)))))</f>
        <v>#VALUE!</v>
      </c>
      <c r="AO44" s="243" t="e">
        <f>AN44/2</f>
        <v>#VALUE!</v>
      </c>
      <c r="AP44" s="223" t="e">
        <f>(AO44*H43)/G43</f>
        <v>#VALUE!</v>
      </c>
      <c r="AQ44" s="223" t="e">
        <f>AO44*H43</f>
        <v>#VALUE!</v>
      </c>
      <c r="AR44" s="375" t="e">
        <f>AQ44/G43</f>
        <v>#VALUE!</v>
      </c>
    </row>
    <row r="45" spans="3:44" ht="16.5" customHeight="1" x14ac:dyDescent="0.3">
      <c r="D45" s="364"/>
      <c r="E45" s="366"/>
      <c r="F45" s="369"/>
      <c r="G45" s="370"/>
      <c r="H45" s="367"/>
      <c r="I45" s="387" t="str">
        <f t="shared" si="11"/>
        <v/>
      </c>
      <c r="J45" s="426" t="str">
        <f t="shared" si="12"/>
        <v/>
      </c>
      <c r="K45" s="651" t="str">
        <f t="shared" si="13"/>
        <v/>
      </c>
      <c r="L45" s="652"/>
      <c r="N45" s="661" t="str">
        <f>IF(S44="ERROR","Revise las superficies de plantación consideradas en las opciones A y B.","")</f>
        <v/>
      </c>
      <c r="O45" s="661"/>
      <c r="P45" s="661"/>
      <c r="Q45" s="661"/>
      <c r="R45" s="661"/>
      <c r="S45" s="661"/>
      <c r="T45" s="661"/>
      <c r="U45" s="256"/>
      <c r="V45" s="256"/>
      <c r="W45" s="257"/>
      <c r="X45" s="229" t="str">
        <f>'Selección final metodología'!A44</f>
        <v>Pinus canariensis</v>
      </c>
      <c r="Y45" s="394">
        <f>'Selección final metodología'!B44</f>
        <v>2.6547327211478084E-2</v>
      </c>
      <c r="Z45" s="394">
        <f>'Selección final metodología'!C44</f>
        <v>6.8345157178653956E-2</v>
      </c>
      <c r="AA45" s="394">
        <f>'Selección final metodología'!D44</f>
        <v>0.13534900640836928</v>
      </c>
      <c r="AB45" s="394">
        <f>'Selección final metodología'!E44</f>
        <v>0.15790717414309749</v>
      </c>
      <c r="AC45" s="394">
        <f>'Selección final metodología'!F44</f>
        <v>0.1804653418778257</v>
      </c>
      <c r="AD45" s="313" t="str">
        <f>'Selección final metodología'!G44</f>
        <v>Tabla 201 del IFN3 y Anexo 2 (Coníferas) IFN1 (1)</v>
      </c>
      <c r="AF45" s="265">
        <f t="shared" ref="AF45:AF58" si="20">E44</f>
        <v>0</v>
      </c>
      <c r="AG45" s="265" t="str">
        <f t="shared" ref="AG45:AG58" si="21">IF(ISNUMBER(E44),AF45-$AB$2,"")</f>
        <v/>
      </c>
      <c r="AH45" s="225" t="e">
        <f t="shared" si="14"/>
        <v>#N/A</v>
      </c>
      <c r="AI45" s="225" t="e">
        <f t="shared" si="15"/>
        <v>#N/A</v>
      </c>
      <c r="AJ45" s="225" t="e">
        <f t="shared" si="16"/>
        <v>#N/A</v>
      </c>
      <c r="AK45" s="225" t="e">
        <f t="shared" si="17"/>
        <v>#N/A</v>
      </c>
      <c r="AL45" s="225" t="e">
        <f t="shared" si="18"/>
        <v>#N/A</v>
      </c>
      <c r="AM45" s="225" t="e">
        <f t="shared" si="19"/>
        <v>#N/A</v>
      </c>
      <c r="AN45" s="243" t="e">
        <f t="shared" ref="AN45:AN58" si="22">IF(F44-AG45&lt;20,AH45,IF(OR(F44-AG45=20,AND(F44-AG45&lt;25,F44-AG45&gt;20)),AI45,IF(OR(F44-AG45=25,AND(F44-AG45&lt;30,F44-AG45&gt;25)),AJ45,IF(OR(F44-AG45=30,AND(F44-AG45&lt;35,F44-AG45&gt;30)),AK45,IF(OR(F44-AG45=35,AND(F44-AG45&lt;40,F44-AG45&gt;35)),AL45,AM45)))))</f>
        <v>#VALUE!</v>
      </c>
      <c r="AO45" s="243" t="e">
        <f>AN45/2</f>
        <v>#VALUE!</v>
      </c>
      <c r="AP45" s="223" t="e">
        <f t="shared" ref="AP45:AP58" si="23">(AO45*H44)/G44</f>
        <v>#VALUE!</v>
      </c>
      <c r="AQ45" s="223" t="e">
        <f t="shared" ref="AQ45:AQ58" si="24">AO45*H44</f>
        <v>#VALUE!</v>
      </c>
      <c r="AR45" s="375" t="e">
        <f t="shared" ref="AR45:AR58" si="25">AQ45/G44</f>
        <v>#VALUE!</v>
      </c>
    </row>
    <row r="46" spans="3:44" ht="16.5" customHeight="1" thickBot="1" x14ac:dyDescent="0.35">
      <c r="D46" s="364"/>
      <c r="E46" s="366"/>
      <c r="F46" s="369"/>
      <c r="G46" s="370"/>
      <c r="H46" s="367"/>
      <c r="I46" s="387" t="str">
        <f t="shared" si="11"/>
        <v/>
      </c>
      <c r="J46" s="426" t="str">
        <f t="shared" si="12"/>
        <v/>
      </c>
      <c r="K46" s="651" t="str">
        <f t="shared" si="13"/>
        <v/>
      </c>
      <c r="L46" s="652"/>
      <c r="N46" s="662"/>
      <c r="O46" s="662"/>
      <c r="P46" s="662"/>
      <c r="Q46" s="662"/>
      <c r="R46" s="662"/>
      <c r="S46" s="662"/>
      <c r="T46" s="662"/>
      <c r="U46" s="256"/>
      <c r="V46" s="256"/>
      <c r="W46" s="257"/>
      <c r="X46" s="229" t="str">
        <f>'Selección final metodología'!A45</f>
        <v>Pinus halepensis</v>
      </c>
      <c r="Y46" s="394">
        <f>'Selección final metodología'!B45</f>
        <v>3.079439737450931E-2</v>
      </c>
      <c r="Z46" s="394">
        <f>'Selección final metodología'!C45</f>
        <v>3.8492996718136628E-2</v>
      </c>
      <c r="AA46" s="394">
        <f>'Selección final metodología'!D45</f>
        <v>8.21892270440258E-2</v>
      </c>
      <c r="AB46" s="394">
        <f>'Selección final metodología'!E45</f>
        <v>0.1375600979341646</v>
      </c>
      <c r="AC46" s="394">
        <f>'Selección final metodología'!F45</f>
        <v>0.15721154049618813</v>
      </c>
      <c r="AD46" s="313" t="str">
        <f>'Selección final metodología'!G45</f>
        <v>Tabla 201 del IFN3 y Anexo 2 (Coníferas) IFN1 (1)</v>
      </c>
      <c r="AF46" s="265">
        <f t="shared" si="20"/>
        <v>0</v>
      </c>
      <c r="AG46" s="265" t="str">
        <f>IF(ISNUMBER(E45),AF46-$AB$2,"")</f>
        <v/>
      </c>
      <c r="AH46" s="225" t="e">
        <f t="shared" si="14"/>
        <v>#N/A</v>
      </c>
      <c r="AI46" s="225" t="e">
        <f t="shared" si="15"/>
        <v>#N/A</v>
      </c>
      <c r="AJ46" s="225" t="e">
        <f t="shared" si="16"/>
        <v>#N/A</v>
      </c>
      <c r="AK46" s="225" t="e">
        <f t="shared" si="17"/>
        <v>#N/A</v>
      </c>
      <c r="AL46" s="225" t="e">
        <f t="shared" si="18"/>
        <v>#N/A</v>
      </c>
      <c r="AM46" s="225" t="e">
        <f t="shared" si="19"/>
        <v>#N/A</v>
      </c>
      <c r="AN46" s="243" t="e">
        <f t="shared" si="22"/>
        <v>#VALUE!</v>
      </c>
      <c r="AO46" s="243" t="e">
        <f>AN46/2</f>
        <v>#VALUE!</v>
      </c>
      <c r="AP46" s="223" t="e">
        <f t="shared" si="23"/>
        <v>#VALUE!</v>
      </c>
      <c r="AQ46" s="223" t="e">
        <f t="shared" si="24"/>
        <v>#VALUE!</v>
      </c>
      <c r="AR46" s="375" t="e">
        <f t="shared" si="25"/>
        <v>#VALUE!</v>
      </c>
    </row>
    <row r="47" spans="3:44" ht="16.5" customHeight="1" x14ac:dyDescent="0.3">
      <c r="D47" s="364"/>
      <c r="E47" s="366"/>
      <c r="F47" s="369"/>
      <c r="G47" s="370"/>
      <c r="H47" s="367"/>
      <c r="I47" s="387" t="str">
        <f t="shared" si="11"/>
        <v/>
      </c>
      <c r="J47" s="426" t="str">
        <f t="shared" si="12"/>
        <v/>
      </c>
      <c r="K47" s="651" t="str">
        <f t="shared" si="13"/>
        <v/>
      </c>
      <c r="L47" s="652"/>
      <c r="N47" s="380">
        <v>3</v>
      </c>
      <c r="O47" s="649" t="s">
        <v>460</v>
      </c>
      <c r="P47" s="649"/>
      <c r="Q47" s="649"/>
      <c r="R47" s="649"/>
      <c r="S47" s="649"/>
      <c r="T47" s="650"/>
      <c r="U47" s="256"/>
      <c r="V47" s="256"/>
      <c r="W47" s="257"/>
      <c r="X47" s="229" t="str">
        <f>'Selección final metodología'!A46</f>
        <v>Pinus nigra Sistema Ibérico</v>
      </c>
      <c r="Y47" s="394">
        <f>'Selección final metodología'!B46</f>
        <v>3.4157697129970299E-2</v>
      </c>
      <c r="Z47" s="394">
        <f>'Selección final metodología'!C46</f>
        <v>4.2697121412462874E-2</v>
      </c>
      <c r="AA47" s="394">
        <f>'Selección final metodología'!D46</f>
        <v>5.1236545694955449E-2</v>
      </c>
      <c r="AB47" s="394">
        <f>'Selección final metodología'!E46</f>
        <v>0.10884537979242993</v>
      </c>
      <c r="AC47" s="394">
        <f>'Selección final metodología'!F46</f>
        <v>0.12636076078387784</v>
      </c>
      <c r="AD47" s="313" t="str">
        <f>'Selección final metodología'!G46</f>
        <v>Tablas producción Madrigal (3)</v>
      </c>
      <c r="AF47" s="265">
        <f t="shared" si="20"/>
        <v>0</v>
      </c>
      <c r="AG47" s="265" t="str">
        <f t="shared" si="21"/>
        <v/>
      </c>
      <c r="AH47" s="225" t="e">
        <f t="shared" si="14"/>
        <v>#N/A</v>
      </c>
      <c r="AI47" s="225" t="e">
        <f t="shared" si="15"/>
        <v>#N/A</v>
      </c>
      <c r="AJ47" s="225" t="e">
        <f t="shared" si="16"/>
        <v>#N/A</v>
      </c>
      <c r="AK47" s="225" t="e">
        <f t="shared" si="17"/>
        <v>#N/A</v>
      </c>
      <c r="AL47" s="225" t="e">
        <f t="shared" si="18"/>
        <v>#N/A</v>
      </c>
      <c r="AM47" s="225" t="e">
        <f t="shared" si="19"/>
        <v>#N/A</v>
      </c>
      <c r="AN47" s="243" t="e">
        <f t="shared" si="22"/>
        <v>#VALUE!</v>
      </c>
      <c r="AO47" s="243" t="e">
        <f t="shared" ref="AO47:AO58" si="26">AN47/2</f>
        <v>#VALUE!</v>
      </c>
      <c r="AP47" s="223" t="e">
        <f t="shared" si="23"/>
        <v>#VALUE!</v>
      </c>
      <c r="AQ47" s="223" t="e">
        <f t="shared" si="24"/>
        <v>#VALUE!</v>
      </c>
      <c r="AR47" s="375" t="e">
        <f t="shared" si="25"/>
        <v>#VALUE!</v>
      </c>
    </row>
    <row r="48" spans="3:44" ht="16.5" customHeight="1" x14ac:dyDescent="0.3">
      <c r="D48" s="365"/>
      <c r="E48" s="366"/>
      <c r="F48" s="369"/>
      <c r="G48" s="370"/>
      <c r="H48" s="368"/>
      <c r="I48" s="387" t="str">
        <f t="shared" si="11"/>
        <v/>
      </c>
      <c r="J48" s="426" t="str">
        <f t="shared" si="12"/>
        <v/>
      </c>
      <c r="K48" s="651" t="str">
        <f t="shared" si="13"/>
        <v/>
      </c>
      <c r="L48" s="652"/>
      <c r="N48" s="381">
        <v>4</v>
      </c>
      <c r="O48" s="653" t="s">
        <v>579</v>
      </c>
      <c r="P48" s="653"/>
      <c r="Q48" s="653"/>
      <c r="R48" s="653"/>
      <c r="S48" s="653"/>
      <c r="T48" s="654"/>
      <c r="U48" s="256"/>
      <c r="V48" s="256"/>
      <c r="W48" s="257"/>
      <c r="X48" s="229" t="str">
        <f>'Selección final metodología'!A47</f>
        <v>Pinus nigra (Resto)</v>
      </c>
      <c r="Y48" s="394">
        <f>'Selección final metodología'!B47</f>
        <v>2.6073137524437157E-2</v>
      </c>
      <c r="Z48" s="394">
        <f>'Selección final metodología'!C47</f>
        <v>3.2591421905546439E-2</v>
      </c>
      <c r="AA48" s="394">
        <f>'Selección final metodología'!D47</f>
        <v>7.9197813699280514E-2</v>
      </c>
      <c r="AB48" s="394">
        <f>'Selección final metodología'!E47</f>
        <v>9.2397449315827287E-2</v>
      </c>
      <c r="AC48" s="394">
        <f>'Selección final metodología'!F47</f>
        <v>0.10559708493237403</v>
      </c>
      <c r="AD48" s="313" t="str">
        <f>'Selección final metodología'!G47</f>
        <v>Tabla 201 del IFN3 y Anexo 2 (Coníferas) IFN1 (1)</v>
      </c>
      <c r="AF48" s="265">
        <f t="shared" si="20"/>
        <v>0</v>
      </c>
      <c r="AG48" s="265" t="str">
        <f t="shared" si="21"/>
        <v/>
      </c>
      <c r="AH48" s="225" t="e">
        <f t="shared" si="14"/>
        <v>#N/A</v>
      </c>
      <c r="AI48" s="225" t="e">
        <f t="shared" si="15"/>
        <v>#N/A</v>
      </c>
      <c r="AJ48" s="225" t="e">
        <f t="shared" si="16"/>
        <v>#N/A</v>
      </c>
      <c r="AK48" s="225" t="e">
        <f t="shared" si="17"/>
        <v>#N/A</v>
      </c>
      <c r="AL48" s="225" t="e">
        <f t="shared" si="18"/>
        <v>#N/A</v>
      </c>
      <c r="AM48" s="225" t="e">
        <f t="shared" si="19"/>
        <v>#N/A</v>
      </c>
      <c r="AN48" s="243" t="e">
        <f t="shared" si="22"/>
        <v>#VALUE!</v>
      </c>
      <c r="AO48" s="243" t="e">
        <f t="shared" si="26"/>
        <v>#VALUE!</v>
      </c>
      <c r="AP48" s="223" t="e">
        <f t="shared" si="23"/>
        <v>#VALUE!</v>
      </c>
      <c r="AQ48" s="223" t="e">
        <f t="shared" si="24"/>
        <v>#VALUE!</v>
      </c>
      <c r="AR48" s="375" t="e">
        <f t="shared" si="25"/>
        <v>#VALUE!</v>
      </c>
    </row>
    <row r="49" spans="4:44" ht="16.5" customHeight="1" x14ac:dyDescent="0.3">
      <c r="D49" s="365"/>
      <c r="E49" s="366"/>
      <c r="F49" s="369"/>
      <c r="G49" s="371"/>
      <c r="H49" s="368"/>
      <c r="I49" s="387" t="str">
        <f t="shared" si="11"/>
        <v/>
      </c>
      <c r="J49" s="426" t="str">
        <f t="shared" si="12"/>
        <v/>
      </c>
      <c r="K49" s="651" t="str">
        <f t="shared" si="13"/>
        <v/>
      </c>
      <c r="L49" s="652"/>
      <c r="N49" s="382"/>
      <c r="O49" s="653"/>
      <c r="P49" s="653"/>
      <c r="Q49" s="653"/>
      <c r="R49" s="653"/>
      <c r="S49" s="653"/>
      <c r="T49" s="654"/>
      <c r="U49" s="256"/>
      <c r="V49" s="256"/>
      <c r="W49" s="257"/>
      <c r="X49" s="229" t="str">
        <f>'Selección final metodología'!A48</f>
        <v>Pinus pinaster ssp. atlantica Zona Norte interior</v>
      </c>
      <c r="Y49" s="394">
        <f>'Selección final metodología'!B48</f>
        <v>0.2327115308614556</v>
      </c>
      <c r="Z49" s="394">
        <f>'Selección final metodología'!C48</f>
        <v>0.40856203182870365</v>
      </c>
      <c r="AA49" s="394">
        <f>'Selección final metodología'!D48</f>
        <v>0.58249493630952376</v>
      </c>
      <c r="AB49" s="394">
        <f>'Selección final metodología'!E48</f>
        <v>0.74304199720492636</v>
      </c>
      <c r="AC49" s="394">
        <f>'Selección final metodología'!F48</f>
        <v>0.91206257563956428</v>
      </c>
      <c r="AD49" s="313" t="str">
        <f>'Selección final metodología'!G48</f>
        <v>Tablas producción Madrigal (3)</v>
      </c>
      <c r="AF49" s="265">
        <f>E48</f>
        <v>0</v>
      </c>
      <c r="AG49" s="265" t="str">
        <f t="shared" si="21"/>
        <v/>
      </c>
      <c r="AH49" s="225" t="e">
        <f t="shared" si="14"/>
        <v>#N/A</v>
      </c>
      <c r="AI49" s="225" t="e">
        <f t="shared" si="15"/>
        <v>#N/A</v>
      </c>
      <c r="AJ49" s="225" t="e">
        <f t="shared" si="16"/>
        <v>#N/A</v>
      </c>
      <c r="AK49" s="225" t="e">
        <f t="shared" si="17"/>
        <v>#N/A</v>
      </c>
      <c r="AL49" s="225" t="e">
        <f t="shared" si="18"/>
        <v>#N/A</v>
      </c>
      <c r="AM49" s="225" t="e">
        <f t="shared" si="19"/>
        <v>#N/A</v>
      </c>
      <c r="AN49" s="243" t="e">
        <f t="shared" si="22"/>
        <v>#VALUE!</v>
      </c>
      <c r="AO49" s="243" t="e">
        <f t="shared" si="26"/>
        <v>#VALUE!</v>
      </c>
      <c r="AP49" s="223" t="e">
        <f t="shared" si="23"/>
        <v>#VALUE!</v>
      </c>
      <c r="AQ49" s="223" t="e">
        <f t="shared" si="24"/>
        <v>#VALUE!</v>
      </c>
      <c r="AR49" s="375" t="e">
        <f t="shared" si="25"/>
        <v>#VALUE!</v>
      </c>
    </row>
    <row r="50" spans="4:44" ht="16.5" customHeight="1" x14ac:dyDescent="0.3">
      <c r="D50" s="365"/>
      <c r="E50" s="366"/>
      <c r="F50" s="369"/>
      <c r="G50" s="371"/>
      <c r="H50" s="368"/>
      <c r="I50" s="387" t="str">
        <f t="shared" si="11"/>
        <v/>
      </c>
      <c r="J50" s="426" t="str">
        <f t="shared" si="12"/>
        <v/>
      </c>
      <c r="K50" s="651" t="str">
        <f t="shared" si="13"/>
        <v/>
      </c>
      <c r="L50" s="652"/>
      <c r="N50" s="382"/>
      <c r="O50" s="653"/>
      <c r="P50" s="653"/>
      <c r="Q50" s="653"/>
      <c r="R50" s="653"/>
      <c r="S50" s="653"/>
      <c r="T50" s="654"/>
      <c r="X50" s="229" t="str">
        <f>'Selección final metodología'!A49</f>
        <v>Pinus pinaster ssp. atlantica Zona Norte costera</v>
      </c>
      <c r="Y50" s="394">
        <f>'Selección final metodología'!B49</f>
        <v>0.32827964901620366</v>
      </c>
      <c r="Z50" s="394">
        <f>'Selección final metodología'!C49</f>
        <v>0.53815745067959075</v>
      </c>
      <c r="AA50" s="394">
        <f>'Selección final metodología'!D49</f>
        <v>0.69121584652967782</v>
      </c>
      <c r="AB50" s="394">
        <f>'Selección final metodología'!E49</f>
        <v>0.80641848761795754</v>
      </c>
      <c r="AC50" s="394">
        <f>'Selección final metodología'!F49</f>
        <v>0.92162112870623725</v>
      </c>
      <c r="AD50" s="313" t="str">
        <f>'Selección final metodología'!G49</f>
        <v>Tablas producción Madrigal (3)</v>
      </c>
      <c r="AF50" s="265">
        <f t="shared" si="20"/>
        <v>0</v>
      </c>
      <c r="AG50" s="265" t="str">
        <f t="shared" si="21"/>
        <v/>
      </c>
      <c r="AH50" s="225" t="e">
        <f t="shared" si="14"/>
        <v>#N/A</v>
      </c>
      <c r="AI50" s="225" t="e">
        <f t="shared" si="15"/>
        <v>#N/A</v>
      </c>
      <c r="AJ50" s="225" t="e">
        <f t="shared" si="16"/>
        <v>#N/A</v>
      </c>
      <c r="AK50" s="225" t="e">
        <f t="shared" si="17"/>
        <v>#N/A</v>
      </c>
      <c r="AL50" s="225" t="e">
        <f t="shared" si="18"/>
        <v>#N/A</v>
      </c>
      <c r="AM50" s="225" t="e">
        <f t="shared" si="19"/>
        <v>#N/A</v>
      </c>
      <c r="AN50" s="243" t="e">
        <f t="shared" si="22"/>
        <v>#VALUE!</v>
      </c>
      <c r="AO50" s="243" t="e">
        <f t="shared" si="26"/>
        <v>#VALUE!</v>
      </c>
      <c r="AP50" s="223" t="e">
        <f t="shared" si="23"/>
        <v>#VALUE!</v>
      </c>
      <c r="AQ50" s="223" t="e">
        <f t="shared" si="24"/>
        <v>#VALUE!</v>
      </c>
      <c r="AR50" s="375" t="e">
        <f t="shared" si="25"/>
        <v>#VALUE!</v>
      </c>
    </row>
    <row r="51" spans="4:44" ht="16.5" customHeight="1" x14ac:dyDescent="0.3">
      <c r="D51" s="365"/>
      <c r="E51" s="366"/>
      <c r="F51" s="369"/>
      <c r="G51" s="371"/>
      <c r="H51" s="368"/>
      <c r="I51" s="387" t="str">
        <f t="shared" si="11"/>
        <v/>
      </c>
      <c r="J51" s="426" t="str">
        <f t="shared" si="12"/>
        <v/>
      </c>
      <c r="K51" s="651" t="str">
        <f t="shared" si="13"/>
        <v/>
      </c>
      <c r="L51" s="652"/>
      <c r="N51" s="381">
        <v>5</v>
      </c>
      <c r="O51" s="655" t="s">
        <v>377</v>
      </c>
      <c r="P51" s="655"/>
      <c r="Q51" s="655"/>
      <c r="R51" s="655"/>
      <c r="S51" s="655"/>
      <c r="T51" s="656"/>
      <c r="X51" s="229" t="str">
        <f>'Selección final metodología'!A50</f>
        <v>Pinus pinaster ssp. mesogeensis Sistema Central</v>
      </c>
      <c r="Y51" s="394">
        <f>'Selección final metodología'!B50</f>
        <v>0.11982849020241199</v>
      </c>
      <c r="Z51" s="394">
        <f>'Selección final metodología'!C50</f>
        <v>0.14978561275301497</v>
      </c>
      <c r="AA51" s="394">
        <f>'Selección final metodología'!D50</f>
        <v>0.17974273530361798</v>
      </c>
      <c r="AB51" s="394">
        <f>'Selección final metodología'!E50</f>
        <v>0.26196202857543643</v>
      </c>
      <c r="AC51" s="394">
        <f>'Selección final metodología'!F50</f>
        <v>0.35801687535521448</v>
      </c>
      <c r="AD51" s="313" t="str">
        <f>'Selección final metodología'!G50</f>
        <v>Tablas producción Madrigal (3)</v>
      </c>
      <c r="AF51" s="265">
        <f t="shared" si="20"/>
        <v>0</v>
      </c>
      <c r="AG51" s="265" t="str">
        <f t="shared" si="21"/>
        <v/>
      </c>
      <c r="AH51" s="225" t="e">
        <f t="shared" si="14"/>
        <v>#N/A</v>
      </c>
      <c r="AI51" s="225" t="e">
        <f t="shared" si="15"/>
        <v>#N/A</v>
      </c>
      <c r="AJ51" s="225" t="e">
        <f t="shared" si="16"/>
        <v>#N/A</v>
      </c>
      <c r="AK51" s="225" t="e">
        <f t="shared" si="17"/>
        <v>#N/A</v>
      </c>
      <c r="AL51" s="225" t="e">
        <f t="shared" si="18"/>
        <v>#N/A</v>
      </c>
      <c r="AM51" s="225" t="e">
        <f t="shared" si="19"/>
        <v>#N/A</v>
      </c>
      <c r="AN51" s="243" t="e">
        <f t="shared" si="22"/>
        <v>#VALUE!</v>
      </c>
      <c r="AO51" s="243" t="e">
        <f t="shared" si="26"/>
        <v>#VALUE!</v>
      </c>
      <c r="AP51" s="223" t="e">
        <f t="shared" si="23"/>
        <v>#VALUE!</v>
      </c>
      <c r="AQ51" s="223" t="e">
        <f t="shared" si="24"/>
        <v>#VALUE!</v>
      </c>
      <c r="AR51" s="375" t="e">
        <f t="shared" si="25"/>
        <v>#VALUE!</v>
      </c>
    </row>
    <row r="52" spans="4:44" ht="19.5" customHeight="1" x14ac:dyDescent="0.3">
      <c r="D52" s="365"/>
      <c r="E52" s="366"/>
      <c r="F52" s="369"/>
      <c r="G52" s="371"/>
      <c r="H52" s="368"/>
      <c r="I52" s="387" t="str">
        <f t="shared" si="11"/>
        <v/>
      </c>
      <c r="J52" s="426" t="str">
        <f t="shared" si="12"/>
        <v/>
      </c>
      <c r="K52" s="651" t="str">
        <f t="shared" si="13"/>
        <v/>
      </c>
      <c r="L52" s="652"/>
      <c r="N52" s="381">
        <v>6</v>
      </c>
      <c r="O52" s="657" t="s">
        <v>533</v>
      </c>
      <c r="P52" s="657"/>
      <c r="Q52" s="657"/>
      <c r="R52" s="657"/>
      <c r="S52" s="657"/>
      <c r="T52" s="658"/>
      <c r="X52" s="229" t="str">
        <f>'Selección final metodología'!A51</f>
        <v>Pinus pinaster (Resto)</v>
      </c>
      <c r="Y52" s="394">
        <f>'Selección final metodología'!B51</f>
        <v>2.2564090284982921E-2</v>
      </c>
      <c r="Z52" s="394">
        <f>'Selección final metodología'!C51</f>
        <v>2.8205112856228648E-2</v>
      </c>
      <c r="AA52" s="394">
        <f>'Selección final metodología'!D51</f>
        <v>3.3846135427474382E-2</v>
      </c>
      <c r="AB52" s="394">
        <f>'Selección final metodología'!E51</f>
        <v>7.9542600800647137E-2</v>
      </c>
      <c r="AC52" s="394">
        <f>'Selección final metodología'!F51</f>
        <v>9.0905829486453871E-2</v>
      </c>
      <c r="AD52" s="313" t="str">
        <f>'Selección final metodología'!G51</f>
        <v>Tabla 201 del IFN3 y Anexo 2 (Coníferas) IFN1 (1)</v>
      </c>
      <c r="AF52" s="265">
        <f t="shared" si="20"/>
        <v>0</v>
      </c>
      <c r="AG52" s="265" t="str">
        <f t="shared" si="21"/>
        <v/>
      </c>
      <c r="AH52" s="225" t="e">
        <f t="shared" si="14"/>
        <v>#N/A</v>
      </c>
      <c r="AI52" s="225" t="e">
        <f t="shared" si="15"/>
        <v>#N/A</v>
      </c>
      <c r="AJ52" s="225" t="e">
        <f t="shared" si="16"/>
        <v>#N/A</v>
      </c>
      <c r="AK52" s="225" t="e">
        <f t="shared" si="17"/>
        <v>#N/A</v>
      </c>
      <c r="AL52" s="225" t="e">
        <f t="shared" si="18"/>
        <v>#N/A</v>
      </c>
      <c r="AM52" s="225" t="e">
        <f t="shared" si="19"/>
        <v>#N/A</v>
      </c>
      <c r="AN52" s="243" t="e">
        <f t="shared" si="22"/>
        <v>#VALUE!</v>
      </c>
      <c r="AO52" s="243" t="e">
        <f t="shared" si="26"/>
        <v>#VALUE!</v>
      </c>
      <c r="AP52" s="223" t="e">
        <f t="shared" si="23"/>
        <v>#VALUE!</v>
      </c>
      <c r="AQ52" s="223" t="e">
        <f t="shared" si="24"/>
        <v>#VALUE!</v>
      </c>
      <c r="AR52" s="375" t="e">
        <f t="shared" si="25"/>
        <v>#VALUE!</v>
      </c>
    </row>
    <row r="53" spans="4:44" ht="18.75" customHeight="1" x14ac:dyDescent="0.3">
      <c r="D53" s="365"/>
      <c r="E53" s="366"/>
      <c r="F53" s="369"/>
      <c r="G53" s="371"/>
      <c r="H53" s="368"/>
      <c r="I53" s="387" t="str">
        <f t="shared" si="11"/>
        <v/>
      </c>
      <c r="J53" s="426" t="str">
        <f t="shared" si="12"/>
        <v/>
      </c>
      <c r="K53" s="651" t="str">
        <f t="shared" si="13"/>
        <v/>
      </c>
      <c r="L53" s="652"/>
      <c r="N53" s="270"/>
      <c r="O53" s="657"/>
      <c r="P53" s="657"/>
      <c r="Q53" s="657"/>
      <c r="R53" s="657"/>
      <c r="S53" s="657"/>
      <c r="T53" s="658"/>
      <c r="X53" s="229" t="str">
        <f>'Selección final metodología'!A52</f>
        <v>Pinus pinea</v>
      </c>
      <c r="Y53" s="394">
        <f>'Selección final metodología'!B52</f>
        <v>5.5735242101476262E-2</v>
      </c>
      <c r="Z53" s="394">
        <f>'Selección final metodología'!C52</f>
        <v>9.7053556441893188E-2</v>
      </c>
      <c r="AA53" s="394">
        <f>'Selección final metodología'!D52</f>
        <v>0.16760700183877539</v>
      </c>
      <c r="AB53" s="394">
        <f>'Selección final metodología'!E52</f>
        <v>0.19554150214523794</v>
      </c>
      <c r="AC53" s="394">
        <f>'Selección final metodología'!F52</f>
        <v>0.29288141063309686</v>
      </c>
      <c r="AD53" s="313" t="str">
        <f>'Selección final metodología'!G52</f>
        <v>Tabla 201 del IFN3 y Anexo 2 (Coníferas) IFN1 (1)</v>
      </c>
      <c r="AF53" s="265">
        <f t="shared" si="20"/>
        <v>0</v>
      </c>
      <c r="AG53" s="265" t="str">
        <f t="shared" si="21"/>
        <v/>
      </c>
      <c r="AH53" s="225" t="e">
        <f t="shared" si="14"/>
        <v>#N/A</v>
      </c>
      <c r="AI53" s="225" t="e">
        <f t="shared" si="15"/>
        <v>#N/A</v>
      </c>
      <c r="AJ53" s="225" t="e">
        <f t="shared" si="16"/>
        <v>#N/A</v>
      </c>
      <c r="AK53" s="225" t="e">
        <f t="shared" si="17"/>
        <v>#N/A</v>
      </c>
      <c r="AL53" s="225" t="e">
        <f t="shared" si="18"/>
        <v>#N/A</v>
      </c>
      <c r="AM53" s="225" t="e">
        <f t="shared" si="19"/>
        <v>#N/A</v>
      </c>
      <c r="AN53" s="243" t="e">
        <f t="shared" si="22"/>
        <v>#VALUE!</v>
      </c>
      <c r="AO53" s="243" t="e">
        <f t="shared" si="26"/>
        <v>#VALUE!</v>
      </c>
      <c r="AP53" s="223" t="e">
        <f t="shared" si="23"/>
        <v>#VALUE!</v>
      </c>
      <c r="AQ53" s="223" t="e">
        <f t="shared" si="24"/>
        <v>#VALUE!</v>
      </c>
      <c r="AR53" s="375" t="e">
        <f t="shared" si="25"/>
        <v>#VALUE!</v>
      </c>
    </row>
    <row r="54" spans="4:44" ht="16.5" customHeight="1" thickBot="1" x14ac:dyDescent="0.35">
      <c r="D54" s="365"/>
      <c r="E54" s="366"/>
      <c r="F54" s="369"/>
      <c r="G54" s="371"/>
      <c r="H54" s="368"/>
      <c r="I54" s="387" t="str">
        <f t="shared" si="11"/>
        <v/>
      </c>
      <c r="J54" s="426" t="str">
        <f t="shared" si="12"/>
        <v/>
      </c>
      <c r="K54" s="651" t="str">
        <f t="shared" si="13"/>
        <v/>
      </c>
      <c r="L54" s="652"/>
      <c r="N54" s="383"/>
      <c r="O54" s="659"/>
      <c r="P54" s="659"/>
      <c r="Q54" s="659"/>
      <c r="R54" s="659"/>
      <c r="S54" s="659"/>
      <c r="T54" s="660"/>
      <c r="X54" s="229" t="str">
        <f>'Selección final metodología'!A53</f>
        <v>Pinus radiata</v>
      </c>
      <c r="Y54" s="394">
        <f>'Selección final metodología'!B53</f>
        <v>0.4564333244723322</v>
      </c>
      <c r="Z54" s="394">
        <f>'Selección final metodología'!C53</f>
        <v>0.78694276633853766</v>
      </c>
      <c r="AA54" s="394">
        <f>'Selección final metodología'!D53</f>
        <v>1.1651157738742044</v>
      </c>
      <c r="AB54" s="394">
        <f>'Selección final metodología'!E53</f>
        <v>1.5580231120134596</v>
      </c>
      <c r="AC54" s="394">
        <f>'Selección final metodología'!F53</f>
        <v>1.7805978423010973</v>
      </c>
      <c r="AD54" s="313" t="str">
        <f>'Selección final metodología'!G53</f>
        <v>Tablas producción Madrigal (3)</v>
      </c>
      <c r="AF54" s="265">
        <f t="shared" si="20"/>
        <v>0</v>
      </c>
      <c r="AG54" s="265" t="str">
        <f t="shared" si="21"/>
        <v/>
      </c>
      <c r="AH54" s="225" t="e">
        <f t="shared" si="14"/>
        <v>#N/A</v>
      </c>
      <c r="AI54" s="225" t="e">
        <f t="shared" si="15"/>
        <v>#N/A</v>
      </c>
      <c r="AJ54" s="225" t="e">
        <f t="shared" si="16"/>
        <v>#N/A</v>
      </c>
      <c r="AK54" s="225" t="e">
        <f t="shared" si="17"/>
        <v>#N/A</v>
      </c>
      <c r="AL54" s="225" t="e">
        <f t="shared" si="18"/>
        <v>#N/A</v>
      </c>
      <c r="AM54" s="225" t="e">
        <f t="shared" si="19"/>
        <v>#N/A</v>
      </c>
      <c r="AN54" s="243" t="e">
        <f t="shared" si="22"/>
        <v>#VALUE!</v>
      </c>
      <c r="AO54" s="243" t="e">
        <f t="shared" si="26"/>
        <v>#VALUE!</v>
      </c>
      <c r="AP54" s="223" t="e">
        <f t="shared" si="23"/>
        <v>#VALUE!</v>
      </c>
      <c r="AQ54" s="223" t="e">
        <f t="shared" si="24"/>
        <v>#VALUE!</v>
      </c>
      <c r="AR54" s="375" t="e">
        <f t="shared" si="25"/>
        <v>#VALUE!</v>
      </c>
    </row>
    <row r="55" spans="4:44" ht="16.5" customHeight="1" x14ac:dyDescent="0.3">
      <c r="D55" s="365"/>
      <c r="E55" s="366"/>
      <c r="F55" s="369"/>
      <c r="G55" s="371"/>
      <c r="H55" s="368"/>
      <c r="I55" s="387" t="str">
        <f t="shared" si="11"/>
        <v/>
      </c>
      <c r="J55" s="426" t="str">
        <f t="shared" si="12"/>
        <v/>
      </c>
      <c r="K55" s="651" t="str">
        <f t="shared" si="13"/>
        <v/>
      </c>
      <c r="L55" s="652"/>
      <c r="X55" s="229" t="str">
        <f>'Selección final metodología'!A54</f>
        <v>Pinus sylvestris Sistema Central</v>
      </c>
      <c r="Y55" s="394">
        <f>'Selección final metodología'!B54</f>
        <v>2.0214699176883854E-2</v>
      </c>
      <c r="Z55" s="394">
        <f>'Selección final metodología'!C54</f>
        <v>5.0853708186201808E-2</v>
      </c>
      <c r="AA55" s="394">
        <f>'Selección final metodología'!D54</f>
        <v>6.102444982344217E-2</v>
      </c>
      <c r="AB55" s="394">
        <f>'Selección final metodología'!E54</f>
        <v>0.14704079816421481</v>
      </c>
      <c r="AC55" s="394">
        <f>'Selección final metodología'!F54</f>
        <v>0.16804662647338833</v>
      </c>
      <c r="AD55" s="313" t="str">
        <f>'Selección final metodología'!G54</f>
        <v>Tablas producción Madrigal (3)</v>
      </c>
      <c r="AF55" s="265">
        <f t="shared" si="20"/>
        <v>0</v>
      </c>
      <c r="AG55" s="265" t="str">
        <f t="shared" si="21"/>
        <v/>
      </c>
      <c r="AH55" s="225" t="e">
        <f t="shared" si="14"/>
        <v>#N/A</v>
      </c>
      <c r="AI55" s="225" t="e">
        <f t="shared" si="15"/>
        <v>#N/A</v>
      </c>
      <c r="AJ55" s="225" t="e">
        <f t="shared" si="16"/>
        <v>#N/A</v>
      </c>
      <c r="AK55" s="225" t="e">
        <f t="shared" si="17"/>
        <v>#N/A</v>
      </c>
      <c r="AL55" s="225" t="e">
        <f t="shared" si="18"/>
        <v>#N/A</v>
      </c>
      <c r="AM55" s="225" t="e">
        <f t="shared" si="19"/>
        <v>#N/A</v>
      </c>
      <c r="AN55" s="243" t="e">
        <f t="shared" si="22"/>
        <v>#VALUE!</v>
      </c>
      <c r="AO55" s="243" t="e">
        <f t="shared" si="26"/>
        <v>#VALUE!</v>
      </c>
      <c r="AP55" s="223" t="e">
        <f t="shared" si="23"/>
        <v>#VALUE!</v>
      </c>
      <c r="AQ55" s="223" t="e">
        <f t="shared" si="24"/>
        <v>#VALUE!</v>
      </c>
      <c r="AR55" s="375" t="e">
        <f t="shared" si="25"/>
        <v>#VALUE!</v>
      </c>
    </row>
    <row r="56" spans="4:44" ht="16.5" customHeight="1" x14ac:dyDescent="0.3">
      <c r="D56" s="365"/>
      <c r="E56" s="366"/>
      <c r="F56" s="369"/>
      <c r="G56" s="371"/>
      <c r="H56" s="368"/>
      <c r="I56" s="387" t="str">
        <f t="shared" si="11"/>
        <v/>
      </c>
      <c r="J56" s="426" t="str">
        <f t="shared" si="12"/>
        <v/>
      </c>
      <c r="K56" s="651" t="str">
        <f t="shared" si="13"/>
        <v/>
      </c>
      <c r="L56" s="652"/>
      <c r="X56" s="229" t="str">
        <f>'Selección final metodología'!A55</f>
        <v>Pinus sylvestris Sistema Ibérico</v>
      </c>
      <c r="Y56" s="394">
        <f>'Selección final metodología'!B55</f>
        <v>3.1639288306640985E-2</v>
      </c>
      <c r="Z56" s="394">
        <f>'Selección final metodología'!C55</f>
        <v>3.9549110383301236E-2</v>
      </c>
      <c r="AA56" s="394">
        <f>'Selección final metodología'!D55</f>
        <v>4.7458932459961474E-2</v>
      </c>
      <c r="AB56" s="394">
        <f>'Selección final metodología'!E55</f>
        <v>9.1964080011148003E-2</v>
      </c>
      <c r="AC56" s="394">
        <f>'Selección final metodología'!F55</f>
        <v>0.10795822541769297</v>
      </c>
      <c r="AD56" s="313" t="str">
        <f>'Selección final metodología'!G55</f>
        <v>Tablas producción Madrigal (3)</v>
      </c>
      <c r="AF56" s="265">
        <f t="shared" si="20"/>
        <v>0</v>
      </c>
      <c r="AG56" s="265" t="str">
        <f t="shared" si="21"/>
        <v/>
      </c>
      <c r="AH56" s="225" t="e">
        <f t="shared" si="14"/>
        <v>#N/A</v>
      </c>
      <c r="AI56" s="225" t="e">
        <f t="shared" si="15"/>
        <v>#N/A</v>
      </c>
      <c r="AJ56" s="225" t="e">
        <f t="shared" si="16"/>
        <v>#N/A</v>
      </c>
      <c r="AK56" s="225" t="e">
        <f t="shared" si="17"/>
        <v>#N/A</v>
      </c>
      <c r="AL56" s="225" t="e">
        <f t="shared" si="18"/>
        <v>#N/A</v>
      </c>
      <c r="AM56" s="225" t="e">
        <f t="shared" si="19"/>
        <v>#N/A</v>
      </c>
      <c r="AN56" s="243" t="e">
        <f t="shared" si="22"/>
        <v>#VALUE!</v>
      </c>
      <c r="AO56" s="243" t="e">
        <f t="shared" si="26"/>
        <v>#VALUE!</v>
      </c>
      <c r="AP56" s="223" t="e">
        <f t="shared" si="23"/>
        <v>#VALUE!</v>
      </c>
      <c r="AQ56" s="223" t="e">
        <f t="shared" si="24"/>
        <v>#VALUE!</v>
      </c>
      <c r="AR56" s="375" t="e">
        <f t="shared" si="25"/>
        <v>#VALUE!</v>
      </c>
    </row>
    <row r="57" spans="4:44" ht="16.5" customHeight="1" x14ac:dyDescent="0.3">
      <c r="D57" s="365"/>
      <c r="E57" s="366"/>
      <c r="F57" s="369"/>
      <c r="G57" s="371"/>
      <c r="H57" s="368"/>
      <c r="I57" s="387" t="str">
        <f t="shared" si="11"/>
        <v/>
      </c>
      <c r="J57" s="426" t="str">
        <f t="shared" si="12"/>
        <v/>
      </c>
      <c r="K57" s="651" t="str">
        <f t="shared" si="13"/>
        <v/>
      </c>
      <c r="L57" s="652"/>
      <c r="X57" s="229" t="str">
        <f>'Selección final metodología'!A56</f>
        <v>Pinus sylvestris Pirineos</v>
      </c>
      <c r="Y57" s="394">
        <f>'Selección final metodología'!B56</f>
        <v>4.3635426256541009E-2</v>
      </c>
      <c r="Z57" s="394">
        <f>'Selección final metodología'!C56</f>
        <v>5.4544282820676256E-2</v>
      </c>
      <c r="AA57" s="394">
        <f>'Selección final metodología'!D56</f>
        <v>6.545313938481151E-2</v>
      </c>
      <c r="AB57" s="394">
        <f>'Selección final metodología'!E56</f>
        <v>0.10950251840392226</v>
      </c>
      <c r="AC57" s="394">
        <f>'Selección final metodología'!F56</f>
        <v>0.16625264941496601</v>
      </c>
      <c r="AD57" s="313" t="str">
        <f>'Selección final metodología'!G56</f>
        <v>Tablas producción Madrigal (3)</v>
      </c>
      <c r="AF57" s="265">
        <f t="shared" si="20"/>
        <v>0</v>
      </c>
      <c r="AG57" s="265" t="str">
        <f t="shared" si="21"/>
        <v/>
      </c>
      <c r="AH57" s="225" t="e">
        <f t="shared" si="14"/>
        <v>#N/A</v>
      </c>
      <c r="AI57" s="225" t="e">
        <f t="shared" si="15"/>
        <v>#N/A</v>
      </c>
      <c r="AJ57" s="225" t="e">
        <f t="shared" si="16"/>
        <v>#N/A</v>
      </c>
      <c r="AK57" s="225" t="e">
        <f t="shared" si="17"/>
        <v>#N/A</v>
      </c>
      <c r="AL57" s="225" t="e">
        <f t="shared" si="18"/>
        <v>#N/A</v>
      </c>
      <c r="AM57" s="225" t="e">
        <f t="shared" si="19"/>
        <v>#N/A</v>
      </c>
      <c r="AN57" s="243" t="e">
        <f t="shared" si="22"/>
        <v>#VALUE!</v>
      </c>
      <c r="AO57" s="243" t="e">
        <f t="shared" si="26"/>
        <v>#VALUE!</v>
      </c>
      <c r="AP57" s="223" t="e">
        <f t="shared" si="23"/>
        <v>#VALUE!</v>
      </c>
      <c r="AQ57" s="223" t="e">
        <f t="shared" si="24"/>
        <v>#VALUE!</v>
      </c>
      <c r="AR57" s="375" t="e">
        <f t="shared" si="25"/>
        <v>#VALUE!</v>
      </c>
    </row>
    <row r="58" spans="4:44" ht="8.25" customHeight="1" x14ac:dyDescent="0.3">
      <c r="X58" s="229" t="str">
        <f>'Selección final metodología'!A57</f>
        <v>Pinus sylvestris (Resto)</v>
      </c>
      <c r="Y58" s="394">
        <f>'Selección final metodología'!B57</f>
        <v>3.1829804580021943E-2</v>
      </c>
      <c r="Z58" s="394">
        <f>'Selección final metodología'!C57</f>
        <v>4.8315700463393098E-2</v>
      </c>
      <c r="AA58" s="394">
        <f>'Selección final metodología'!D57</f>
        <v>5.797884055607172E-2</v>
      </c>
      <c r="AB58" s="394">
        <f>'Selección final metodología'!E57</f>
        <v>0.11616913219309503</v>
      </c>
      <c r="AC58" s="394">
        <f>'Selección final metodología'!F57</f>
        <v>0.14741916710201577</v>
      </c>
      <c r="AD58" s="313" t="str">
        <f>'Selección final metodología'!G57</f>
        <v>Tabla 201 del IFN3 y Anexo 2 (Coníferas) IFN1 (1)</v>
      </c>
      <c r="AF58" s="265">
        <f t="shared" si="20"/>
        <v>0</v>
      </c>
      <c r="AG58" s="265" t="str">
        <f t="shared" si="21"/>
        <v/>
      </c>
      <c r="AH58" s="225" t="e">
        <f t="shared" si="14"/>
        <v>#N/A</v>
      </c>
      <c r="AI58" s="225" t="e">
        <f t="shared" si="15"/>
        <v>#N/A</v>
      </c>
      <c r="AJ58" s="225" t="e">
        <f t="shared" si="16"/>
        <v>#N/A</v>
      </c>
      <c r="AK58" s="225" t="e">
        <f t="shared" si="17"/>
        <v>#N/A</v>
      </c>
      <c r="AL58" s="225" t="e">
        <f t="shared" si="18"/>
        <v>#N/A</v>
      </c>
      <c r="AM58" s="225" t="e">
        <f t="shared" si="19"/>
        <v>#N/A</v>
      </c>
      <c r="AN58" s="243" t="e">
        <f t="shared" si="22"/>
        <v>#VALUE!</v>
      </c>
      <c r="AO58" s="243" t="e">
        <f t="shared" si="26"/>
        <v>#VALUE!</v>
      </c>
      <c r="AP58" s="223" t="e">
        <f t="shared" si="23"/>
        <v>#VALUE!</v>
      </c>
      <c r="AQ58" s="223" t="e">
        <f t="shared" si="24"/>
        <v>#VALUE!</v>
      </c>
      <c r="AR58" s="375" t="e">
        <f t="shared" si="25"/>
        <v>#VALUE!</v>
      </c>
    </row>
    <row r="59" spans="4:44" ht="16.5" customHeight="1" thickBot="1" x14ac:dyDescent="0.35">
      <c r="X59" s="229" t="str">
        <f>'Selección final metodología'!A58</f>
        <v>Pinus uncinata</v>
      </c>
      <c r="Y59" s="394">
        <f>'Selección final metodología'!B58</f>
        <v>3.6603166366973285E-2</v>
      </c>
      <c r="Z59" s="394">
        <f>'Selección final metodología'!C58</f>
        <v>4.5753957958716604E-2</v>
      </c>
      <c r="AA59" s="394">
        <f>'Selección final metodología'!D58</f>
        <v>9.0140403287118462E-2</v>
      </c>
      <c r="AB59" s="394">
        <f>'Selección final metodología'!E58</f>
        <v>0.10516380383497152</v>
      </c>
      <c r="AC59" s="394">
        <f>'Selección final metodología'!F58</f>
        <v>0.12018720438282458</v>
      </c>
      <c r="AD59" s="313" t="str">
        <f>'Selección final metodología'!G58</f>
        <v>Tabla 201 del IFN3 y Anexo 2 (Coníferas) IFN1 (1)</v>
      </c>
    </row>
    <row r="60" spans="4:44" ht="16.5" customHeight="1" x14ac:dyDescent="0.3">
      <c r="D60" s="637" t="s">
        <v>538</v>
      </c>
      <c r="E60" s="638"/>
      <c r="F60" s="638"/>
      <c r="G60" s="638"/>
      <c r="H60" s="639"/>
      <c r="X60" s="229" t="str">
        <f>'Selección final metodología'!A59</f>
        <v>Pistacia terebinthus</v>
      </c>
      <c r="Y60" s="394">
        <f>'Selección final metodología'!B59</f>
        <v>4.2905184381875593E-2</v>
      </c>
      <c r="Z60" s="394">
        <f>'Selección final metodología'!C59</f>
        <v>0.11203292161465764</v>
      </c>
      <c r="AA60" s="394">
        <f>'Selección final metodología'!D59</f>
        <v>0.20516585167863827</v>
      </c>
      <c r="AB60" s="394">
        <f>'Selección final metodología'!E59</f>
        <v>0.34790001540782683</v>
      </c>
      <c r="AC60" s="394">
        <f>'Selección final metodología'!F59</f>
        <v>0.39760001760894487</v>
      </c>
      <c r="AD60" s="313" t="str">
        <f>'Selección final metodología'!G59</f>
        <v>Asimilación</v>
      </c>
    </row>
    <row r="61" spans="4:44" ht="16.5" customHeight="1" x14ac:dyDescent="0.3">
      <c r="D61" s="640"/>
      <c r="E61" s="641"/>
      <c r="F61" s="641"/>
      <c r="G61" s="641"/>
      <c r="H61" s="642"/>
      <c r="X61" s="229" t="str">
        <f>'Selección final metodología'!A60</f>
        <v>Platanus hispanica</v>
      </c>
      <c r="Y61" s="394">
        <f>'Selección final metodología'!B60</f>
        <v>0.20654286732427818</v>
      </c>
      <c r="Z61" s="394">
        <f>'Selección final metodología'!C60</f>
        <v>0.45940713286933604</v>
      </c>
      <c r="AA61" s="394">
        <f>'Selección final metodología'!D60</f>
        <v>0.67165279962424007</v>
      </c>
      <c r="AB61" s="394">
        <f>'Selección final metodología'!E60</f>
        <v>0.92277386354672075</v>
      </c>
      <c r="AC61" s="394">
        <f>'Selección final metodología'!F60</f>
        <v>1.2630946245650829</v>
      </c>
      <c r="AD61" s="313" t="str">
        <f>'Selección final metodología'!G60</f>
        <v>Asimilación</v>
      </c>
    </row>
    <row r="62" spans="4:44" ht="16.5" customHeight="1" x14ac:dyDescent="0.3">
      <c r="D62" s="640"/>
      <c r="E62" s="641"/>
      <c r="F62" s="641"/>
      <c r="G62" s="641"/>
      <c r="H62" s="642"/>
      <c r="X62" s="229" t="str">
        <f>'Selección final metodología'!A61</f>
        <v>Populus alba</v>
      </c>
      <c r="Y62" s="394">
        <f>'Selección final metodología'!B61</f>
        <v>0.20654286732427818</v>
      </c>
      <c r="Z62" s="394">
        <f>'Selección final metodología'!C61</f>
        <v>0.45940713286933604</v>
      </c>
      <c r="AA62" s="394">
        <f>'Selección final metodología'!D61</f>
        <v>0.67165279962424007</v>
      </c>
      <c r="AB62" s="394">
        <f>'Selección final metodología'!E61</f>
        <v>0.92277386354672075</v>
      </c>
      <c r="AC62" s="394">
        <f>'Selección final metodología'!F61</f>
        <v>1.2630946245650829</v>
      </c>
      <c r="AD62" s="313" t="str">
        <f>'Selección final metodología'!G61</f>
        <v>Tabla 201 del IFN3 y Anexo 2 (frondosas) IFN1 (2)</v>
      </c>
    </row>
    <row r="63" spans="4:44" ht="16.5" customHeight="1" x14ac:dyDescent="0.3">
      <c r="D63" s="640"/>
      <c r="E63" s="641"/>
      <c r="F63" s="641"/>
      <c r="G63" s="641"/>
      <c r="H63" s="642"/>
      <c r="X63" s="229" t="str">
        <f>'Selección final metodología'!A62</f>
        <v>Populus nigra</v>
      </c>
      <c r="Y63" s="394">
        <f>'Selección final metodología'!B62</f>
        <v>0.28554224648832599</v>
      </c>
      <c r="Z63" s="394">
        <f>'Selección final metodología'!C62</f>
        <v>0.72002933854517226</v>
      </c>
      <c r="AA63" s="394">
        <f>'Selección final metodología'!D62</f>
        <v>1.0064449533150317</v>
      </c>
      <c r="AB63" s="394">
        <f>'Selección final metodología'!E62</f>
        <v>1.44499968749023</v>
      </c>
      <c r="AC63" s="394">
        <f>'Selección final metodología'!F62</f>
        <v>1.8956012546262551</v>
      </c>
      <c r="AD63" s="313" t="str">
        <f>'Selección final metodología'!G62</f>
        <v>Tabla 201 del IFN3 y Anexo 2 (frondosas) IFN1 (2)</v>
      </c>
    </row>
    <row r="64" spans="4:44" ht="16.5" customHeight="1" x14ac:dyDescent="0.3">
      <c r="D64" s="640"/>
      <c r="E64" s="641"/>
      <c r="F64" s="641"/>
      <c r="G64" s="641"/>
      <c r="H64" s="642"/>
      <c r="X64" s="229" t="str">
        <f>'Selección final metodología'!A63</f>
        <v>Populus x canadensis</v>
      </c>
      <c r="Y64" s="394">
        <f>'Selección final metodología'!B63</f>
        <v>0.33838309337864286</v>
      </c>
      <c r="Z64" s="394">
        <f>'Selección final metodología'!C63</f>
        <v>0.80520818838555264</v>
      </c>
      <c r="AA64" s="394">
        <f>'Selección final metodología'!D63</f>
        <v>1.1774018251252529</v>
      </c>
      <c r="AB64" s="394">
        <f>'Selección final metodología'!E63</f>
        <v>1.5544798963783533</v>
      </c>
      <c r="AC64" s="394">
        <f>'Selección final metodología'!F63</f>
        <v>2.0237169627228608</v>
      </c>
      <c r="AD64" s="313" t="str">
        <f>'Selección final metodología'!G63</f>
        <v>Tabla 201 del IFN3 y Anexo 2 (frondosas) IFN1 (2)</v>
      </c>
    </row>
    <row r="65" spans="4:30" ht="16.5" customHeight="1" x14ac:dyDescent="0.3">
      <c r="D65" s="640"/>
      <c r="E65" s="641"/>
      <c r="F65" s="641"/>
      <c r="G65" s="641"/>
      <c r="H65" s="642"/>
      <c r="X65" s="229" t="str">
        <f>'Selección final metodología'!A64</f>
        <v>Prunus spp.</v>
      </c>
      <c r="Y65" s="394">
        <f>'Selección final metodología'!B64</f>
        <v>0.14975536130234138</v>
      </c>
      <c r="Z65" s="394">
        <f>'Selección final metodología'!C64</f>
        <v>0.18719420162792669</v>
      </c>
      <c r="AA65" s="394">
        <f>'Selección final metodología'!D64</f>
        <v>0.22463304195351205</v>
      </c>
      <c r="AB65" s="394">
        <f>'Selección final metodología'!E64</f>
        <v>0.26207188227909739</v>
      </c>
      <c r="AC65" s="394">
        <f>'Selección final metodología'!F64</f>
        <v>0.29951072260468276</v>
      </c>
      <c r="AD65" s="313" t="str">
        <f>'Selección final metodología'!G64</f>
        <v>Asimilación</v>
      </c>
    </row>
    <row r="66" spans="4:30" ht="16.5" customHeight="1" x14ac:dyDescent="0.3">
      <c r="D66" s="640"/>
      <c r="E66" s="641"/>
      <c r="F66" s="641"/>
      <c r="G66" s="641"/>
      <c r="H66" s="642"/>
      <c r="X66" s="229" t="str">
        <f>'Selección final metodología'!A65</f>
        <v>Pseudotsuga menziesii</v>
      </c>
      <c r="Y66" s="394">
        <f>'Selección final metodología'!B65</f>
        <v>0.34624258854033912</v>
      </c>
      <c r="Z66" s="394">
        <f>'Selección final metodología'!C65</f>
        <v>0.63416449134559993</v>
      </c>
      <c r="AA66" s="394">
        <f>'Selección final metodología'!D65</f>
        <v>1.2964681323565146</v>
      </c>
      <c r="AB66" s="394">
        <f>'Selección final metodología'!E65</f>
        <v>2.8776869027198626</v>
      </c>
      <c r="AC66" s="394">
        <f>'Selección final metodología'!F65</f>
        <v>3.4048640619376549</v>
      </c>
      <c r="AD66" s="313" t="str">
        <f>'Selección final metodología'!G65</f>
        <v>Tabla 201 del IFN3 y Anexo 2 (Coníferas) IFN1 (1)</v>
      </c>
    </row>
    <row r="67" spans="4:30" ht="16.5" customHeight="1" x14ac:dyDescent="0.3">
      <c r="D67" s="640"/>
      <c r="E67" s="641"/>
      <c r="F67" s="641"/>
      <c r="G67" s="641"/>
      <c r="H67" s="642"/>
      <c r="X67" s="229" t="str">
        <f>'Selección final metodología'!A66</f>
        <v>Pyrus spp.</v>
      </c>
      <c r="Y67" s="394">
        <f>'Selección final metodología'!B66</f>
        <v>0.14975536130234138</v>
      </c>
      <c r="Z67" s="394">
        <f>'Selección final metodología'!C66</f>
        <v>0.18719420162792669</v>
      </c>
      <c r="AA67" s="394">
        <f>'Selección final metodología'!D66</f>
        <v>0.22463304195351205</v>
      </c>
      <c r="AB67" s="394">
        <f>'Selección final metodología'!E66</f>
        <v>0.26207188227909739</v>
      </c>
      <c r="AC67" s="394">
        <f>'Selección final metodología'!F66</f>
        <v>0.29951072260468276</v>
      </c>
      <c r="AD67" s="313" t="str">
        <f>'Selección final metodología'!G66</f>
        <v>Asimilación</v>
      </c>
    </row>
    <row r="68" spans="4:30" ht="16.5" customHeight="1" x14ac:dyDescent="0.3">
      <c r="D68" s="640"/>
      <c r="E68" s="641"/>
      <c r="F68" s="641"/>
      <c r="G68" s="641"/>
      <c r="H68" s="642"/>
      <c r="X68" s="229" t="str">
        <f>'Selección final metodología'!A67</f>
        <v>Quercus canariensis</v>
      </c>
      <c r="Y68" s="394">
        <f>'Selección final metodología'!B67</f>
        <v>4.8828839094095237E-2</v>
      </c>
      <c r="Z68" s="394">
        <f>'Selección final metodología'!C67</f>
        <v>6.1036048867619055E-2</v>
      </c>
      <c r="AA68" s="394">
        <f>'Selección final metodología'!D67</f>
        <v>0.12721465554673028</v>
      </c>
      <c r="AB68" s="394">
        <f>'Selección final metodología'!E67</f>
        <v>0.148417098137852</v>
      </c>
      <c r="AC68" s="394">
        <f>'Selección final metodología'!F67</f>
        <v>0.16961954072897373</v>
      </c>
      <c r="AD68" s="313" t="str">
        <f>'Selección final metodología'!G67</f>
        <v>Tabla 201 del IFN3 y Anexo 2 (frondosas) IFN1 (2)</v>
      </c>
    </row>
    <row r="69" spans="4:30" ht="16.5" customHeight="1" thickBot="1" x14ac:dyDescent="0.35">
      <c r="D69" s="643"/>
      <c r="E69" s="644"/>
      <c r="F69" s="644"/>
      <c r="G69" s="644"/>
      <c r="H69" s="645"/>
      <c r="X69" s="229" t="str">
        <f>'Selección final metodología'!A68</f>
        <v>Quercus faginea</v>
      </c>
      <c r="Y69" s="394">
        <f>'Selección final metodología'!B68</f>
        <v>4.1003485800888813E-2</v>
      </c>
      <c r="Z69" s="394">
        <f>'Selección final metodología'!C68</f>
        <v>5.1254357251111014E-2</v>
      </c>
      <c r="AA69" s="394">
        <f>'Selección final metodología'!D68</f>
        <v>9.7556673966789992E-2</v>
      </c>
      <c r="AB69" s="394">
        <f>'Selección final metodología'!E68</f>
        <v>0.11381611962792167</v>
      </c>
      <c r="AC69" s="394">
        <f>'Selección final metodología'!F68</f>
        <v>0.13007556528905334</v>
      </c>
      <c r="AD69" s="313" t="str">
        <f>'Selección final metodología'!G68</f>
        <v>Tabla 201 del IFN3 y Anexo 2 (frondosas) IFN1 (2)</v>
      </c>
    </row>
    <row r="70" spans="4:30" ht="16.5" customHeight="1" x14ac:dyDescent="0.3">
      <c r="X70" s="229" t="str">
        <f>'Selección final metodología'!A69</f>
        <v>Quercus ilex</v>
      </c>
      <c r="Y70" s="394">
        <f>'Selección final metodología'!B69</f>
        <v>4.8090381579979975E-2</v>
      </c>
      <c r="Z70" s="394">
        <f>'Selección final metodología'!C69</f>
        <v>6.0112976974974974E-2</v>
      </c>
      <c r="AA70" s="394">
        <f>'Selección final metodología'!D69</f>
        <v>7.2135572369969952E-2</v>
      </c>
      <c r="AB70" s="394">
        <f>'Selección final metodología'!E69</f>
        <v>8.4158167764964945E-2</v>
      </c>
      <c r="AC70" s="394">
        <f>'Selección final metodología'!F69</f>
        <v>9.6180763159959951E-2</v>
      </c>
      <c r="AD70" s="313" t="str">
        <f>'Selección final metodología'!G69</f>
        <v>Tabla 201 e Inventario de emisiones 1990-2012</v>
      </c>
    </row>
    <row r="71" spans="4:30" ht="16.5" customHeight="1" x14ac:dyDescent="0.3">
      <c r="X71" s="229" t="str">
        <f>'Selección final metodología'!A70</f>
        <v>Quercus petraea</v>
      </c>
      <c r="Y71" s="394">
        <f>'Selección final metodología'!B70</f>
        <v>5.5638922658708602E-2</v>
      </c>
      <c r="Z71" s="394">
        <f>'Selección final metodología'!C70</f>
        <v>6.9548653323385751E-2</v>
      </c>
      <c r="AA71" s="394">
        <f>'Selección final metodología'!D70</f>
        <v>0.17900063987112114</v>
      </c>
      <c r="AB71" s="394">
        <f>'Selección final metodología'!E70</f>
        <v>0.20883407984964134</v>
      </c>
      <c r="AC71" s="394">
        <f>'Selección final metodología'!F70</f>
        <v>0.23866751982816153</v>
      </c>
      <c r="AD71" s="313" t="str">
        <f>'Selección final metodología'!G70</f>
        <v>Tabla 201 del IFN3 y Anexo 2 (frondosas) IFN1 (2)</v>
      </c>
    </row>
    <row r="72" spans="4:30" ht="16.5" customHeight="1" x14ac:dyDescent="0.3">
      <c r="X72" s="229" t="str">
        <f>'Selección final metodología'!A71</f>
        <v>Quercus pubescens (Q. humilis)</v>
      </c>
      <c r="Y72" s="394">
        <f>'Selección final metodología'!B71</f>
        <v>6.8552185747233832E-2</v>
      </c>
      <c r="Z72" s="394">
        <f>'Selección final metodología'!C71</f>
        <v>0.12296494917176243</v>
      </c>
      <c r="AA72" s="394">
        <f>'Selección final metodología'!D71</f>
        <v>0.14755793900611491</v>
      </c>
      <c r="AB72" s="394">
        <f>'Selección final metodología'!E71</f>
        <v>0.23083478214715636</v>
      </c>
      <c r="AC72" s="394">
        <f>'Selección final metodología'!F71</f>
        <v>0.26381117959675016</v>
      </c>
      <c r="AD72" s="313" t="str">
        <f>'Selección final metodología'!G71</f>
        <v>Tabla 201 del IFN3 y Anexo 2 (frondosas) IFN1 (2)</v>
      </c>
    </row>
    <row r="73" spans="4:30" ht="16.5" customHeight="1" x14ac:dyDescent="0.3">
      <c r="X73" s="229" t="str">
        <f>'Selección final metodología'!A72</f>
        <v>Quercus pyrenaica</v>
      </c>
      <c r="Y73" s="394">
        <f>'Selección final metodología'!B72</f>
        <v>5.3290218724743897E-2</v>
      </c>
      <c r="Z73" s="394">
        <f>'Selección final metodología'!C72</f>
        <v>6.6612773405929887E-2</v>
      </c>
      <c r="AA73" s="394">
        <f>'Selección final metodología'!D72</f>
        <v>0.14793193211471187</v>
      </c>
      <c r="AB73" s="394">
        <f>'Selección final metodología'!E72</f>
        <v>0.17258725413383053</v>
      </c>
      <c r="AC73" s="394">
        <f>'Selección final metodología'!F72</f>
        <v>0.19724257615294916</v>
      </c>
      <c r="AD73" s="313" t="str">
        <f>'Selección final metodología'!G72</f>
        <v>Tabla 201 del IFN3 y Anexo 2 (frondosas) IFN1 (2)</v>
      </c>
    </row>
    <row r="74" spans="4:30" ht="16.5" customHeight="1" x14ac:dyDescent="0.3">
      <c r="X74" s="229" t="str">
        <f>'Selección final metodología'!A73</f>
        <v>Quercus robur</v>
      </c>
      <c r="Y74" s="394">
        <f>'Selección final metodología'!B73</f>
        <v>7.0712917709178133E-2</v>
      </c>
      <c r="Z74" s="394">
        <f>'Selección final metodología'!C73</f>
        <v>0.16039138980188405</v>
      </c>
      <c r="AA74" s="394">
        <f>'Selección final metodología'!D73</f>
        <v>0.1924696677622609</v>
      </c>
      <c r="AB74" s="394">
        <f>'Selección final metodología'!E73</f>
        <v>0.2245479457226377</v>
      </c>
      <c r="AC74" s="394">
        <f>'Selección final metodología'!F73</f>
        <v>0.3391470055560048</v>
      </c>
      <c r="AD74" s="313" t="str">
        <f>'Selección final metodología'!G73</f>
        <v>Tabla 201 del IFN3 y Anexo 2 (frondosas) IFN1 (2)</v>
      </c>
    </row>
    <row r="75" spans="4:30" ht="16.5" customHeight="1" x14ac:dyDescent="0.3">
      <c r="X75" s="229" t="str">
        <f>'Selección final metodología'!A74</f>
        <v>Quercus rubra</v>
      </c>
      <c r="Y75" s="394">
        <f>'Selección final metodología'!B74</f>
        <v>7.2189347795831374E-2</v>
      </c>
      <c r="Z75" s="394">
        <f>'Selección final metodología'!C74</f>
        <v>0.18461714815369659</v>
      </c>
      <c r="AA75" s="394">
        <f>'Selección final metodología'!D74</f>
        <v>0.22154057778443589</v>
      </c>
      <c r="AB75" s="394">
        <f>'Selección final metodología'!E74</f>
        <v>0.34725191193922511</v>
      </c>
      <c r="AC75" s="394">
        <f>'Selección final metodología'!F74</f>
        <v>0.39685932793054296</v>
      </c>
      <c r="AD75" s="313" t="str">
        <f>'Selección final metodología'!G74</f>
        <v>Tabla 201 del IFN3 y Anexo 2 (frondosas) IFN1 (2)</v>
      </c>
    </row>
    <row r="76" spans="4:30" ht="16.5" customHeight="1" x14ac:dyDescent="0.3">
      <c r="X76" s="229" t="str">
        <f>'Selección final metodología'!A75</f>
        <v>Quercus suber</v>
      </c>
      <c r="Y76" s="394">
        <f>'Selección final metodología'!B75</f>
        <v>7.411115835844527E-2</v>
      </c>
      <c r="Z76" s="394">
        <f>'Selección final metodología'!C75</f>
        <v>9.2638947948056591E-2</v>
      </c>
      <c r="AA76" s="394">
        <f>'Selección final metodología'!D75</f>
        <v>0.11116673753766791</v>
      </c>
      <c r="AB76" s="394">
        <f>'Selección final metodología'!E75</f>
        <v>0.12969452712727922</v>
      </c>
      <c r="AC76" s="394">
        <f>'Selección final metodología'!F75</f>
        <v>0.14822231671689054</v>
      </c>
      <c r="AD76" s="313" t="str">
        <f>'Selección final metodología'!G75</f>
        <v>Tabla 201 e Inventario de emisiones 1990-2012</v>
      </c>
    </row>
    <row r="77" spans="4:30" ht="16.5" customHeight="1" x14ac:dyDescent="0.3">
      <c r="X77" s="229" t="str">
        <f>'Selección final metodología'!A76</f>
        <v>Rhamnus alaternus</v>
      </c>
      <c r="Y77" s="394">
        <f>'Selección final metodología'!B76</f>
        <v>4.2905184381875593E-2</v>
      </c>
      <c r="Z77" s="394">
        <f>'Selección final metodología'!C76</f>
        <v>0.11203292161465764</v>
      </c>
      <c r="AA77" s="394">
        <f>'Selección final metodología'!D76</f>
        <v>0.20516585167863827</v>
      </c>
      <c r="AB77" s="394">
        <f>'Selección final metodología'!E76</f>
        <v>0.34790001540782683</v>
      </c>
      <c r="AC77" s="394">
        <f>'Selección final metodología'!F76</f>
        <v>0.39760001760894487</v>
      </c>
      <c r="AD77" s="313" t="str">
        <f>'Selección final metodología'!G76</f>
        <v>Asimilación</v>
      </c>
    </row>
    <row r="78" spans="4:30" ht="16.5" customHeight="1" x14ac:dyDescent="0.3">
      <c r="X78" s="229" t="str">
        <f>'Selección final metodología'!A77</f>
        <v>Robinia pseudacacia</v>
      </c>
      <c r="Y78" s="394">
        <f>'Selección final metodología'!B77</f>
        <v>6.0069243142107612E-2</v>
      </c>
      <c r="Z78" s="394">
        <f>'Selección final metodología'!C77</f>
        <v>0.15928794784284833</v>
      </c>
      <c r="AA78" s="394">
        <f>'Selección final metodología'!D77</f>
        <v>0.19114553741141802</v>
      </c>
      <c r="AB78" s="394">
        <f>'Selección final metodología'!E77</f>
        <v>0.34409212823611068</v>
      </c>
      <c r="AC78" s="394">
        <f>'Selección final metodología'!F77</f>
        <v>0.39324814655555496</v>
      </c>
      <c r="AD78" s="313" t="str">
        <f>'Selección final metodología'!G77</f>
        <v>Tabla 201 del IFN3 y Anexo 2 (frondosas) IFN1 (2)</v>
      </c>
    </row>
    <row r="79" spans="4:30" ht="16.5" customHeight="1" x14ac:dyDescent="0.3">
      <c r="X79" s="229" t="str">
        <f>'Selección final metodología'!A78</f>
        <v>Salix spp.</v>
      </c>
      <c r="Y79" s="394">
        <f>'Selección final metodología'!B78</f>
        <v>0.3086707442568718</v>
      </c>
      <c r="Z79" s="394">
        <f>'Selección final metodología'!C78</f>
        <v>0.57498705887181834</v>
      </c>
      <c r="AA79" s="394">
        <f>'Selección final metodología'!D78</f>
        <v>0.89565940633103525</v>
      </c>
      <c r="AB79" s="394">
        <f>'Selección final metodología'!E78</f>
        <v>1.2444439508529392</v>
      </c>
      <c r="AC79" s="394">
        <f>'Selección final metodología'!F78</f>
        <v>1.3659285306119766</v>
      </c>
      <c r="AD79" s="313" t="str">
        <f>'Selección final metodología'!G78</f>
        <v>Tabla 201 del IFN3 y Anexo 2 (frondosas) IFN1 (2)</v>
      </c>
    </row>
    <row r="80" spans="4:30" ht="16.5" customHeight="1" x14ac:dyDescent="0.3">
      <c r="X80" s="229" t="str">
        <f>'Selección final metodología'!A79</f>
        <v>Sorbus spp.</v>
      </c>
      <c r="Y80" s="394">
        <f>'Selección final metodología'!B79</f>
        <v>0.16514543481629892</v>
      </c>
      <c r="Z80" s="394">
        <f>'Selección final metodología'!C79</f>
        <v>0.20643179352037366</v>
      </c>
      <c r="AA80" s="394">
        <f>'Selección final metodología'!D79</f>
        <v>0.24771815222444837</v>
      </c>
      <c r="AB80" s="394">
        <f>'Selección final metodología'!E79</f>
        <v>0.28900451092852308</v>
      </c>
      <c r="AC80" s="394">
        <f>'Selección final metodología'!F79</f>
        <v>0.33029086963259785</v>
      </c>
      <c r="AD80" s="313" t="str">
        <f>'Selección final metodología'!G79</f>
        <v>Tabla 201 del IFN3 y Anexo 2 (frondosas) IFN1 (2)</v>
      </c>
    </row>
    <row r="81" spans="24:30" ht="16.5" customHeight="1" x14ac:dyDescent="0.3">
      <c r="X81" s="229" t="str">
        <f>'Selección final metodología'!A80</f>
        <v>Tamarix spp.</v>
      </c>
      <c r="Y81" s="394">
        <f>'Selección final metodología'!B80</f>
        <v>2.8664770594541707E-2</v>
      </c>
      <c r="Z81" s="394">
        <f>'Selección final metodología'!C80</f>
        <v>6.6618224487514713E-2</v>
      </c>
      <c r="AA81" s="394">
        <f>'Selección final metodología'!D80</f>
        <v>7.9941869385017642E-2</v>
      </c>
      <c r="AB81" s="394">
        <f>'Selección final metodología'!E80</f>
        <v>0.14012313740352317</v>
      </c>
      <c r="AC81" s="394">
        <f>'Selección final metodología'!F80</f>
        <v>0.16014072846116933</v>
      </c>
      <c r="AD81" s="313" t="str">
        <f>'Selección final metodología'!G80</f>
        <v>Tabla 201 del IFN3 y Anexo 2 (frondosas) IFN1 (2)</v>
      </c>
    </row>
    <row r="82" spans="24:30" ht="16.5" customHeight="1" x14ac:dyDescent="0.3">
      <c r="X82" s="229" t="str">
        <f>'Selección final metodología'!A81</f>
        <v>Taxus baccata</v>
      </c>
      <c r="Y82" s="394">
        <f>'Selección final metodología'!B81</f>
        <v>3.1829804580021943E-2</v>
      </c>
      <c r="Z82" s="394">
        <f>'Selección final metodología'!C81</f>
        <v>4.8315700463393098E-2</v>
      </c>
      <c r="AA82" s="394">
        <f>'Selección final metodología'!D81</f>
        <v>5.797884055607172E-2</v>
      </c>
      <c r="AB82" s="394">
        <f>'Selección final metodología'!E81</f>
        <v>0.11616913219309503</v>
      </c>
      <c r="AC82" s="394">
        <f>'Selección final metodología'!F81</f>
        <v>0.14741916710201577</v>
      </c>
      <c r="AD82" s="313" t="str">
        <f>'Selección final metodología'!G81</f>
        <v>Asimilación</v>
      </c>
    </row>
    <row r="83" spans="24:30" ht="16.5" customHeight="1" x14ac:dyDescent="0.3">
      <c r="X83" s="229" t="str">
        <f>'Selección final metodología'!A82</f>
        <v>Tetraclinis articulata</v>
      </c>
      <c r="Y83" s="394">
        <f>'Selección final metodología'!B82</f>
        <v>2.8664770594541707E-2</v>
      </c>
      <c r="Z83" s="394">
        <f>'Selección final metodología'!C82</f>
        <v>6.6618224487514713E-2</v>
      </c>
      <c r="AA83" s="394">
        <f>'Selección final metodología'!D82</f>
        <v>7.9941869385017642E-2</v>
      </c>
      <c r="AB83" s="394">
        <f>'Selección final metodología'!E82</f>
        <v>0.14012313740352317</v>
      </c>
      <c r="AC83" s="394">
        <f>'Selección final metodología'!F82</f>
        <v>0.16014072846116933</v>
      </c>
      <c r="AD83" s="313" t="str">
        <f>'Selección final metodología'!G82</f>
        <v>Asimilación</v>
      </c>
    </row>
    <row r="84" spans="24:30" ht="16.5" customHeight="1" x14ac:dyDescent="0.3">
      <c r="X84" s="229" t="str">
        <f>'Selección final metodología'!A83</f>
        <v>Thuja spp.</v>
      </c>
      <c r="Y84" s="394">
        <f>'Selección final metodología'!B83</f>
        <v>1.138475443544619E-2</v>
      </c>
      <c r="Z84" s="394">
        <f>'Selección final metodología'!C83</f>
        <v>1.4230943044307736E-2</v>
      </c>
      <c r="AA84" s="394">
        <f>'Selección final metodología'!D83</f>
        <v>1.7077131653169285E-2</v>
      </c>
      <c r="AB84" s="394">
        <f>'Selección final metodología'!E83</f>
        <v>1.9923320262030829E-2</v>
      </c>
      <c r="AC84" s="394">
        <f>'Selección final metodología'!F83</f>
        <v>2.276950887089238E-2</v>
      </c>
      <c r="AD84" s="313" t="str">
        <f>'Selección final metodología'!G83</f>
        <v>Asimilación</v>
      </c>
    </row>
    <row r="85" spans="24:30" ht="16.5" customHeight="1" x14ac:dyDescent="0.3">
      <c r="X85" s="229" t="str">
        <f>'Selección final metodología'!A84</f>
        <v>Tilia spp.</v>
      </c>
      <c r="Y85" s="394">
        <f>'Selección final metodología'!B84</f>
        <v>5.1766168756151212E-2</v>
      </c>
      <c r="Z85" s="394">
        <f>'Selección final metodología'!C84</f>
        <v>6.3233838338349224E-2</v>
      </c>
      <c r="AA85" s="394">
        <f>'Selección final metodología'!D84</f>
        <v>8.7489025596783121E-2</v>
      </c>
      <c r="AB85" s="394">
        <f>'Selección final metodología'!E84</f>
        <v>0.1165445654608588</v>
      </c>
      <c r="AC85" s="394">
        <f>'Selección final metodología'!F84</f>
        <v>0.13319378909812432</v>
      </c>
      <c r="AD85" s="313" t="str">
        <f>'Selección final metodología'!G84</f>
        <v>Tabla 201 del IFN3 y Anexo 2 (frondosas) IFN1 (2)</v>
      </c>
    </row>
    <row r="86" spans="24:30" ht="16.5" customHeight="1" x14ac:dyDescent="0.3">
      <c r="X86" s="229" t="str">
        <f>'Selección final metodología'!A85</f>
        <v>Ulmus spp.</v>
      </c>
      <c r="Y86" s="394">
        <f>'Selección final metodología'!B85</f>
        <v>0.18032959999999998</v>
      </c>
      <c r="Z86" s="394">
        <f>'Selección final metodología'!C85</f>
        <v>0.225412</v>
      </c>
      <c r="AA86" s="394">
        <f>'Selección final metodología'!D85</f>
        <v>0.27049440000000002</v>
      </c>
      <c r="AB86" s="394">
        <f>'Selección final metodología'!E85</f>
        <v>0.50376480000000001</v>
      </c>
      <c r="AC86" s="394">
        <f>'Selección final metodología'!F85</f>
        <v>0.5757312</v>
      </c>
      <c r="AD86" s="313" t="str">
        <f>'Selección final metodología'!G85</f>
        <v>Tabla 201 del IFN3 y Anexo 2 (frondosas) IFN1 (2)</v>
      </c>
    </row>
    <row r="87" spans="24:30" ht="16.5" customHeight="1" x14ac:dyDescent="0.3"/>
    <row r="88" spans="24:30" ht="16.5" customHeight="1" x14ac:dyDescent="0.3"/>
    <row r="89" spans="24:30" ht="16.5" customHeight="1" x14ac:dyDescent="0.3"/>
    <row r="90" spans="24:30" ht="16.5" customHeight="1" x14ac:dyDescent="0.3"/>
    <row r="91" spans="24:30" ht="16.5" customHeight="1" x14ac:dyDescent="0.3"/>
    <row r="92" spans="24:30" ht="16.5" customHeight="1" x14ac:dyDescent="0.3"/>
    <row r="93" spans="24:30" ht="16.5" customHeight="1" x14ac:dyDescent="0.3"/>
    <row r="94" spans="24:30" ht="16.5" customHeight="1" x14ac:dyDescent="0.3"/>
    <row r="95" spans="24:30" ht="16.5" customHeight="1" x14ac:dyDescent="0.3"/>
    <row r="96" spans="24:30" ht="16.5" customHeight="1" x14ac:dyDescent="0.3"/>
    <row r="97" ht="16.5" customHeight="1" x14ac:dyDescent="0.3"/>
    <row r="98" ht="16.5" customHeight="1" x14ac:dyDescent="0.3"/>
    <row r="99" ht="16.5" customHeight="1" x14ac:dyDescent="0.3"/>
    <row r="100" ht="16.5" customHeight="1" x14ac:dyDescent="0.3"/>
    <row r="101" ht="16.5" customHeight="1" x14ac:dyDescent="0.3"/>
  </sheetData>
  <sheetProtection password="EBEE" sheet="1" objects="1" scenarios="1"/>
  <dataConsolidate/>
  <mergeCells count="51">
    <mergeCell ref="P20:R21"/>
    <mergeCell ref="K55:L55"/>
    <mergeCell ref="O25:T28"/>
    <mergeCell ref="O24:T24"/>
    <mergeCell ref="J18:T19"/>
    <mergeCell ref="H38:K38"/>
    <mergeCell ref="G41:G42"/>
    <mergeCell ref="K42:L42"/>
    <mergeCell ref="C36:T36"/>
    <mergeCell ref="K56:L56"/>
    <mergeCell ref="K49:L49"/>
    <mergeCell ref="K50:L50"/>
    <mergeCell ref="K51:L51"/>
    <mergeCell ref="I41:L41"/>
    <mergeCell ref="K52:L52"/>
    <mergeCell ref="K45:L45"/>
    <mergeCell ref="K43:L43"/>
    <mergeCell ref="K47:L47"/>
    <mergeCell ref="K48:L48"/>
    <mergeCell ref="K53:L53"/>
    <mergeCell ref="L38:M38"/>
    <mergeCell ref="D60:H69"/>
    <mergeCell ref="AO42:AR42"/>
    <mergeCell ref="O47:T47"/>
    <mergeCell ref="K54:L54"/>
    <mergeCell ref="K57:L57"/>
    <mergeCell ref="O48:T50"/>
    <mergeCell ref="F41:F42"/>
    <mergeCell ref="K46:L46"/>
    <mergeCell ref="O51:T51"/>
    <mergeCell ref="O52:T54"/>
    <mergeCell ref="N45:T46"/>
    <mergeCell ref="H41:H42"/>
    <mergeCell ref="P43:R44"/>
    <mergeCell ref="D41:D42"/>
    <mergeCell ref="E41:E42"/>
    <mergeCell ref="K44:L44"/>
    <mergeCell ref="X2:Y2"/>
    <mergeCell ref="A1:U2"/>
    <mergeCell ref="F18:F19"/>
    <mergeCell ref="G18:H18"/>
    <mergeCell ref="B6:T9"/>
    <mergeCell ref="X3:Y3"/>
    <mergeCell ref="K11:L11"/>
    <mergeCell ref="H15:K15"/>
    <mergeCell ref="B4:T4"/>
    <mergeCell ref="C13:T13"/>
    <mergeCell ref="F11:J11"/>
    <mergeCell ref="D18:D19"/>
    <mergeCell ref="E18:E19"/>
    <mergeCell ref="L15:M15"/>
  </mergeCells>
  <phoneticPr fontId="75" type="noConversion"/>
  <conditionalFormatting sqref="S21">
    <cfRule type="expression" dxfId="17" priority="4" stopIfTrue="1">
      <formula>$S$21="ERROR"</formula>
    </cfRule>
  </conditionalFormatting>
  <conditionalFormatting sqref="L15">
    <cfRule type="expression" dxfId="16" priority="3" stopIfTrue="1">
      <formula>$L$15="ERROR"</formula>
    </cfRule>
  </conditionalFormatting>
  <conditionalFormatting sqref="S44">
    <cfRule type="expression" dxfId="15" priority="2" stopIfTrue="1">
      <formula>$S$44="ERROR"</formula>
    </cfRule>
  </conditionalFormatting>
  <conditionalFormatting sqref="L38">
    <cfRule type="expression" dxfId="14" priority="1" stopIfTrue="1">
      <formula>$L$38="ERROR"</formula>
    </cfRule>
  </conditionalFormatting>
  <dataValidations count="8">
    <dataValidation type="decimal" operator="greaterThan" allowBlank="1" showInputMessage="1" showErrorMessage="1" sqref="F23:F34">
      <formula1>0</formula1>
    </dataValidation>
    <dataValidation operator="greaterThanOrEqual" allowBlank="1" showInputMessage="1" showErrorMessage="1" error="Revise la superficie considerada." sqref="L15 L38"/>
    <dataValidation type="list" operator="equal" allowBlank="1" showInputMessage="1" showErrorMessage="1" error="El año de plantación ha de ser uno de los indicados en la pestaña &quot;Datos generales del proyecto&quot;." sqref="E23:E34">
      <formula1>$AM$2:$AM$6</formula1>
    </dataValidation>
    <dataValidation type="list" operator="equal" allowBlank="1" showInputMessage="1" showErrorMessage="1" error="El año de plantación ha de uno de los indicados en &quot;Datos generales del proyecto&quot;." sqref="E43:E57 E21:E22">
      <formula1>$AM$2:$AM$6</formula1>
    </dataValidation>
    <dataValidation type="whole" allowBlank="1" showInputMessage="1" showErrorMessage="1" error="El turno de corta ha de ser inferior al periodo de permanencia considerado e igual o superior a 8 años." sqref="F43:F57">
      <formula1>8</formula1>
      <formula2>$E$38</formula2>
    </dataValidation>
    <dataValidation type="list" allowBlank="1" showInputMessage="1" showErrorMessage="1" sqref="D43:D57 D20:D34">
      <formula1>$X$5:$X$86</formula1>
    </dataValidation>
    <dataValidation type="list" allowBlank="1" showInputMessage="1" showErrorMessage="1" sqref="D35">
      <formula1>$X$5:$X$88</formula1>
    </dataValidation>
    <dataValidation type="list" operator="equal" allowBlank="1" showInputMessage="1" showErrorMessage="1" error="El año de plantación ha de ser uno de los indicados en &quot;Datos generales del proyecto&quot;." sqref="E20">
      <formula1>$AM$2:$AM$6</formula1>
    </dataValidation>
  </dataValidations>
  <pageMargins left="0.7" right="0.7" top="0.75" bottom="0.75" header="0.3" footer="0.3"/>
  <pageSetup paperSize="9" orientation="landscape" r:id="rId1"/>
  <ignoredErrors>
    <ignoredError sqref="J43:J57" formula="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91"/>
  <sheetViews>
    <sheetView showRowColHeaders="0" zoomScaleNormal="100" workbookViewId="0">
      <selection sqref="A1:AD2"/>
    </sheetView>
  </sheetViews>
  <sheetFormatPr baseColWidth="10" defaultRowHeight="16.5" x14ac:dyDescent="0.3"/>
  <cols>
    <col min="1" max="1" width="2.140625" style="396" customWidth="1"/>
    <col min="2" max="2" width="3.28515625" style="396" customWidth="1"/>
    <col min="3" max="3" width="3.7109375" style="396" customWidth="1"/>
    <col min="4" max="4" width="0.28515625" style="396" customWidth="1"/>
    <col min="5" max="5" width="5.85546875" style="396" customWidth="1"/>
    <col min="6" max="6" width="0.28515625" style="396" customWidth="1"/>
    <col min="7" max="7" width="10" style="396" customWidth="1"/>
    <col min="8" max="8" width="0.28515625" style="396" customWidth="1"/>
    <col min="9" max="9" width="10" style="396" customWidth="1"/>
    <col min="10" max="10" width="0.28515625" style="396" customWidth="1"/>
    <col min="11" max="11" width="10" style="396" customWidth="1"/>
    <col min="12" max="12" width="15.7109375" style="396" customWidth="1"/>
    <col min="13" max="13" width="14.140625" style="396" customWidth="1"/>
    <col min="14" max="14" width="1.140625" style="396" customWidth="1"/>
    <col min="15" max="15" width="14.28515625" style="396" customWidth="1"/>
    <col min="16" max="16" width="1.42578125" style="396" customWidth="1"/>
    <col min="17" max="17" width="14.28515625" style="396" customWidth="1"/>
    <col min="18" max="18" width="1.42578125" style="396" customWidth="1"/>
    <col min="19" max="19" width="14.28515625" style="396" customWidth="1"/>
    <col min="20" max="20" width="1.42578125" style="396" customWidth="1"/>
    <col min="21" max="21" width="14.28515625" style="396" customWidth="1"/>
    <col min="22" max="22" width="8.28515625" style="396" hidden="1" customWidth="1"/>
    <col min="23" max="23" width="9.140625" style="396" bestFit="1" customWidth="1"/>
    <col min="24" max="24" width="7.5703125" style="396" customWidth="1"/>
    <col min="25" max="25" width="3" style="396" bestFit="1" customWidth="1"/>
    <col min="26" max="26" width="1.140625" style="396" hidden="1" customWidth="1"/>
    <col min="27" max="27" width="2.42578125" style="396" customWidth="1"/>
    <col min="28" max="28" width="1.7109375" style="396" customWidth="1"/>
    <col min="29" max="29" width="4.28515625" style="396" customWidth="1"/>
    <col min="30" max="30" width="2.85546875" style="396" customWidth="1"/>
    <col min="31" max="36" width="11.42578125" style="396"/>
    <col min="37" max="37" width="12" style="396" bestFit="1" customWidth="1"/>
    <col min="38" max="43" width="11.42578125" style="396"/>
    <col min="44" max="44" width="12.28515625" style="396" bestFit="1" customWidth="1"/>
    <col min="45" max="16384" width="11.42578125" style="396"/>
  </cols>
  <sheetData>
    <row r="1" spans="1:43" s="213" customFormat="1" ht="16.5" customHeight="1" x14ac:dyDescent="0.3">
      <c r="A1" s="557" t="s">
        <v>556</v>
      </c>
      <c r="B1" s="557"/>
      <c r="C1" s="557"/>
      <c r="D1" s="557"/>
      <c r="E1" s="557"/>
      <c r="F1" s="557"/>
      <c r="G1" s="557"/>
      <c r="H1" s="557"/>
      <c r="I1" s="557"/>
      <c r="J1" s="557"/>
      <c r="K1" s="557"/>
      <c r="L1" s="557"/>
      <c r="M1" s="557"/>
      <c r="N1" s="557"/>
      <c r="O1" s="557"/>
      <c r="P1" s="557"/>
      <c r="Q1" s="557"/>
      <c r="R1" s="557"/>
      <c r="S1" s="557"/>
      <c r="T1" s="557"/>
      <c r="U1" s="557"/>
      <c r="V1" s="557"/>
      <c r="W1" s="557"/>
      <c r="X1" s="557"/>
      <c r="Y1" s="557"/>
      <c r="Z1" s="557"/>
      <c r="AA1" s="557"/>
      <c r="AB1" s="557"/>
      <c r="AC1" s="557"/>
      <c r="AD1" s="557"/>
    </row>
    <row r="2" spans="1:43" s="213" customFormat="1" ht="16.5" customHeight="1" x14ac:dyDescent="0.3">
      <c r="A2" s="557"/>
      <c r="B2" s="557"/>
      <c r="C2" s="557"/>
      <c r="D2" s="557"/>
      <c r="E2" s="557"/>
      <c r="F2" s="557"/>
      <c r="G2" s="557"/>
      <c r="H2" s="557"/>
      <c r="I2" s="557"/>
      <c r="J2" s="557"/>
      <c r="K2" s="557"/>
      <c r="L2" s="557"/>
      <c r="M2" s="557"/>
      <c r="N2" s="557"/>
      <c r="O2" s="557"/>
      <c r="P2" s="557"/>
      <c r="Q2" s="557"/>
      <c r="R2" s="557"/>
      <c r="S2" s="557"/>
      <c r="T2" s="557"/>
      <c r="U2" s="557"/>
      <c r="V2" s="557"/>
      <c r="W2" s="557"/>
      <c r="X2" s="557"/>
      <c r="Y2" s="557"/>
      <c r="Z2" s="557"/>
      <c r="AA2" s="557"/>
      <c r="AB2" s="557"/>
      <c r="AC2" s="557"/>
      <c r="AD2" s="557"/>
    </row>
    <row r="4" spans="1:43" s="213" customFormat="1" ht="18.75" customHeight="1" x14ac:dyDescent="0.3">
      <c r="B4" s="679" t="s">
        <v>327</v>
      </c>
      <c r="C4" s="679"/>
      <c r="D4" s="679"/>
      <c r="E4" s="679"/>
      <c r="F4" s="679"/>
      <c r="G4" s="679"/>
      <c r="H4" s="679"/>
      <c r="I4" s="679"/>
      <c r="J4" s="679"/>
      <c r="K4" s="679"/>
      <c r="L4" s="679"/>
      <c r="M4" s="679"/>
      <c r="N4" s="679"/>
      <c r="O4" s="679"/>
      <c r="P4" s="679"/>
      <c r="Q4" s="679"/>
      <c r="R4" s="679"/>
      <c r="S4" s="679"/>
      <c r="T4" s="679"/>
      <c r="U4" s="679"/>
      <c r="V4" s="679"/>
      <c r="W4" s="679"/>
      <c r="X4" s="679"/>
      <c r="Y4" s="679"/>
      <c r="Z4" s="679"/>
      <c r="AA4" s="679"/>
      <c r="AB4" s="679"/>
      <c r="AC4" s="679"/>
    </row>
    <row r="5" spans="1:43" s="213" customFormat="1" x14ac:dyDescent="0.3"/>
    <row r="6" spans="1:43" s="213" customFormat="1" ht="18" customHeight="1" x14ac:dyDescent="0.3">
      <c r="G6" s="568" t="s">
        <v>333</v>
      </c>
      <c r="H6" s="568"/>
      <c r="I6" s="568"/>
      <c r="J6" s="568"/>
      <c r="K6" s="682" t="str">
        <f>IF(ISTEXT('1. Datos generales proyecto'!AJ3),'1. Datos generales proyecto'!AJ3,"")</f>
        <v/>
      </c>
      <c r="L6" s="682"/>
      <c r="M6" s="682"/>
      <c r="N6" s="682"/>
      <c r="O6" s="682"/>
      <c r="P6" s="682"/>
      <c r="Q6" s="683"/>
      <c r="S6" s="418" t="s">
        <v>429</v>
      </c>
      <c r="T6" s="680" t="str">
        <f>IF(ISTEXT('1. Datos generales proyecto'!AJ5),'1. Datos generales proyecto'!AJ5,"")</f>
        <v/>
      </c>
      <c r="U6" s="680"/>
      <c r="V6" s="680"/>
      <c r="W6" s="680"/>
      <c r="X6" s="680"/>
      <c r="Y6" s="680"/>
      <c r="Z6" s="680"/>
      <c r="AA6" s="680"/>
      <c r="AB6" s="681"/>
    </row>
    <row r="7" spans="1:43" s="213" customFormat="1" ht="9" customHeight="1" x14ac:dyDescent="0.3"/>
    <row r="8" spans="1:43" s="213" customFormat="1" x14ac:dyDescent="0.3">
      <c r="G8" s="568" t="s">
        <v>540</v>
      </c>
      <c r="H8" s="568"/>
      <c r="I8" s="568"/>
      <c r="J8" s="568"/>
      <c r="K8" s="682" t="str">
        <f>IF(ISTEXT('1. Datos generales proyecto'!AJ4),'1. Datos generales proyecto'!AJ4,"")</f>
        <v/>
      </c>
      <c r="L8" s="682"/>
      <c r="M8" s="682"/>
      <c r="N8" s="682"/>
      <c r="O8" s="682"/>
      <c r="P8" s="682"/>
      <c r="Q8" s="683"/>
      <c r="S8" s="418" t="s">
        <v>334</v>
      </c>
      <c r="T8" s="691" t="str">
        <f>IF(ISTEXT('1. Datos generales proyecto'!AJ6),'1. Datos generales proyecto'!AJ6,"")</f>
        <v/>
      </c>
      <c r="U8" s="691"/>
      <c r="V8" s="691"/>
      <c r="W8" s="691"/>
      <c r="X8" s="691"/>
      <c r="Y8" s="691"/>
      <c r="Z8" s="691"/>
      <c r="AA8" s="691"/>
      <c r="AB8" s="692"/>
    </row>
    <row r="9" spans="1:43" s="213" customFormat="1" ht="9" customHeight="1" x14ac:dyDescent="0.3"/>
    <row r="10" spans="1:43" ht="18" hidden="1" x14ac:dyDescent="0.3">
      <c r="B10" s="679" t="s">
        <v>337</v>
      </c>
      <c r="C10" s="679"/>
      <c r="D10" s="679"/>
      <c r="E10" s="679"/>
      <c r="F10" s="679"/>
      <c r="G10" s="679"/>
      <c r="H10" s="679"/>
      <c r="I10" s="679"/>
      <c r="J10" s="679"/>
      <c r="K10" s="679"/>
      <c r="L10" s="679"/>
      <c r="M10" s="679"/>
      <c r="N10" s="679"/>
      <c r="O10" s="679"/>
      <c r="P10" s="679"/>
      <c r="Q10" s="679"/>
      <c r="R10" s="679"/>
      <c r="S10" s="679"/>
      <c r="T10" s="679"/>
      <c r="U10" s="679"/>
      <c r="V10" s="679"/>
      <c r="W10" s="679"/>
      <c r="X10" s="679"/>
      <c r="Y10" s="679"/>
      <c r="Z10" s="679"/>
      <c r="AA10" s="679"/>
      <c r="AB10" s="679"/>
      <c r="AC10" s="679"/>
    </row>
    <row r="11" spans="1:43" hidden="1" x14ac:dyDescent="0.3">
      <c r="B11" s="213"/>
      <c r="C11" s="213"/>
      <c r="D11" s="213"/>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row>
    <row r="12" spans="1:43" hidden="1" x14ac:dyDescent="0.3">
      <c r="B12" s="690" t="s">
        <v>359</v>
      </c>
      <c r="C12" s="690"/>
      <c r="D12" s="690"/>
      <c r="E12" s="690"/>
      <c r="F12" s="690"/>
      <c r="G12" s="690"/>
      <c r="H12" s="690"/>
      <c r="I12" s="690"/>
      <c r="J12" s="690"/>
      <c r="K12" s="690"/>
      <c r="L12" s="690"/>
      <c r="M12" s="690"/>
      <c r="N12" s="690"/>
      <c r="O12" s="690"/>
      <c r="P12" s="690"/>
      <c r="Q12" s="690"/>
      <c r="R12" s="690"/>
      <c r="S12" s="690"/>
      <c r="U12" s="664"/>
      <c r="V12" s="664"/>
      <c r="W12" s="664"/>
      <c r="X12" s="664"/>
      <c r="Y12" s="664"/>
      <c r="Z12" s="664"/>
      <c r="AA12" s="664"/>
      <c r="AB12" s="664"/>
      <c r="AC12" s="664"/>
    </row>
    <row r="13" spans="1:43" hidden="1" x14ac:dyDescent="0.3"/>
    <row r="14" spans="1:43" hidden="1" x14ac:dyDescent="0.3">
      <c r="I14" s="404" t="s">
        <v>426</v>
      </c>
      <c r="J14" s="404"/>
      <c r="K14" s="415">
        <f>'2. Estimación absorción total'!AI1</f>
        <v>0</v>
      </c>
      <c r="L14" s="405" t="s">
        <v>326</v>
      </c>
      <c r="U14" s="404" t="s">
        <v>427</v>
      </c>
      <c r="V14" s="404"/>
      <c r="W14" s="404"/>
      <c r="X14" s="406">
        <f>'2. Estimación absorción total'!AI2</f>
        <v>0</v>
      </c>
      <c r="Y14" s="405" t="s">
        <v>326</v>
      </c>
    </row>
    <row r="15" spans="1:43" hidden="1" x14ac:dyDescent="0.3">
      <c r="AE15" s="396" t="str">
        <f>B12</f>
        <v xml:space="preserve">A. Repoblaciones sin aprovechamiento maderero o de aprovechamiento no intensivo </v>
      </c>
      <c r="AK15" s="396" t="e">
        <f>#REF!</f>
        <v>#REF!</v>
      </c>
    </row>
    <row r="16" spans="1:43" hidden="1" x14ac:dyDescent="0.3">
      <c r="D16" s="672" t="s">
        <v>93</v>
      </c>
      <c r="E16" s="672"/>
      <c r="F16" s="672"/>
      <c r="G16" s="672"/>
      <c r="H16" s="672"/>
      <c r="I16" s="672"/>
      <c r="J16" s="672" t="s">
        <v>462</v>
      </c>
      <c r="K16" s="672" t="s">
        <v>338</v>
      </c>
      <c r="L16" s="673" t="s">
        <v>340</v>
      </c>
      <c r="M16" s="674"/>
      <c r="N16" s="407"/>
      <c r="O16" s="693" t="s">
        <v>371</v>
      </c>
      <c r="P16" s="703"/>
      <c r="Q16" s="703"/>
      <c r="R16" s="703"/>
      <c r="U16" s="704"/>
      <c r="V16" s="705"/>
      <c r="W16" s="677" t="s">
        <v>462</v>
      </c>
      <c r="X16" s="677" t="s">
        <v>338</v>
      </c>
      <c r="Y16" s="673" t="s">
        <v>339</v>
      </c>
      <c r="Z16" s="695"/>
      <c r="AA16" s="695"/>
      <c r="AB16" s="674"/>
      <c r="AC16" s="693" t="s">
        <v>372</v>
      </c>
      <c r="AE16" s="409" t="str">
        <f>E50</f>
        <v/>
      </c>
      <c r="AF16" s="409" t="str">
        <f>E51</f>
        <v/>
      </c>
      <c r="AG16" s="409" t="str">
        <f>E52</f>
        <v/>
      </c>
      <c r="AH16" s="409" t="str">
        <f>E53</f>
        <v/>
      </c>
      <c r="AI16" s="409" t="str">
        <f>E54</f>
        <v/>
      </c>
      <c r="AK16" s="409" t="str">
        <f>AE16</f>
        <v/>
      </c>
      <c r="AL16" s="409" t="str">
        <f>AF16</f>
        <v/>
      </c>
      <c r="AM16" s="409" t="str">
        <f>AG16</f>
        <v/>
      </c>
      <c r="AN16" s="409" t="str">
        <f>AH16</f>
        <v/>
      </c>
      <c r="AO16" s="409" t="str">
        <f>AI16</f>
        <v/>
      </c>
      <c r="AQ16" s="396" t="s">
        <v>464</v>
      </c>
    </row>
    <row r="17" spans="4:47" hidden="1" x14ac:dyDescent="0.3">
      <c r="D17" s="672"/>
      <c r="E17" s="672"/>
      <c r="F17" s="672"/>
      <c r="G17" s="672"/>
      <c r="H17" s="672"/>
      <c r="I17" s="672"/>
      <c r="J17" s="672"/>
      <c r="K17" s="672"/>
      <c r="L17" s="673" t="s">
        <v>362</v>
      </c>
      <c r="M17" s="674"/>
      <c r="N17" s="408"/>
      <c r="O17" s="694"/>
      <c r="P17" s="704"/>
      <c r="Q17" s="704"/>
      <c r="R17" s="704"/>
      <c r="U17" s="704"/>
      <c r="V17" s="705"/>
      <c r="W17" s="678"/>
      <c r="X17" s="678"/>
      <c r="Y17" s="673" t="s">
        <v>363</v>
      </c>
      <c r="Z17" s="674"/>
      <c r="AA17" s="673" t="s">
        <v>364</v>
      </c>
      <c r="AB17" s="674"/>
      <c r="AC17" s="694"/>
      <c r="AE17" s="410" t="str">
        <f t="shared" ref="AE17:AE31" si="0">IF(J18=$E$50,L18,"")</f>
        <v/>
      </c>
      <c r="AF17" s="410" t="str">
        <f t="shared" ref="AF17:AF31" si="1">IF(J18=$E$51,L18,"")</f>
        <v/>
      </c>
      <c r="AG17" s="410" t="str">
        <f t="shared" ref="AG17:AG31" si="2">IF(J18=$E$52,L18,"")</f>
        <v/>
      </c>
      <c r="AH17" s="410" t="str">
        <f t="shared" ref="AH17:AH31" si="3">IF(J18=$E$53,L18,"")</f>
        <v/>
      </c>
      <c r="AI17" s="410" t="str">
        <f t="shared" ref="AI17:AI31" si="4">IF(J18=$E$54,L18,"")</f>
        <v/>
      </c>
      <c r="AK17" s="410" t="str">
        <f t="shared" ref="AK17:AK31" si="5">IF(W18=$E$50,Y18,"")</f>
        <v/>
      </c>
      <c r="AL17" s="410" t="str">
        <f t="shared" ref="AL17:AL31" si="6">IF(W18=$E$51,Y18,"")</f>
        <v/>
      </c>
      <c r="AM17" s="410" t="str">
        <f t="shared" ref="AM17:AM31" si="7">IF(W18=$E$52,Y18,"")</f>
        <v/>
      </c>
      <c r="AN17" s="410" t="str">
        <f t="shared" ref="AN17:AN31" si="8">IF(W18=$E$53,Y18,"")</f>
        <v/>
      </c>
      <c r="AO17" s="410" t="str">
        <f t="shared" ref="AO17:AO31" si="9">IF(W18=$E$54,Y18,"")</f>
        <v/>
      </c>
      <c r="AQ17" s="276" t="str">
        <f>AK16</f>
        <v/>
      </c>
      <c r="AR17" s="276" t="str">
        <f>AL16</f>
        <v/>
      </c>
      <c r="AS17" s="276" t="str">
        <f>AM16</f>
        <v/>
      </c>
      <c r="AT17" s="276" t="str">
        <f>AN16</f>
        <v/>
      </c>
      <c r="AU17" s="276" t="str">
        <f>AO16</f>
        <v/>
      </c>
    </row>
    <row r="18" spans="4:47" hidden="1" x14ac:dyDescent="0.3">
      <c r="D18" s="700" t="str">
        <f>IF(ISTEXT('2. Estimación absorción total'!D20),'2. Estimación absorción total'!D20,"")</f>
        <v/>
      </c>
      <c r="E18" s="700"/>
      <c r="F18" s="700"/>
      <c r="G18" s="700"/>
      <c r="H18" s="700"/>
      <c r="I18" s="700"/>
      <c r="J18" s="274" t="str">
        <f>IF(ISNUMBER('2. Estimación absorción total'!E20),'2. Estimación absorción total'!E20,"")</f>
        <v/>
      </c>
      <c r="K18" s="244" t="str">
        <f>IF(ISNUMBER('2. Estimación absorción total'!F20),'2. Estimación absorción total'!F20,"")</f>
        <v/>
      </c>
      <c r="L18" s="701" t="str">
        <f>IF(ISNUMBER('2. Estimación absorción total'!H20),'2. Estimación absorción total'!H20,"")</f>
        <v/>
      </c>
      <c r="M18" s="702"/>
      <c r="N18" s="284"/>
      <c r="O18" s="245" t="str">
        <f>IF(ISNUMBER(L18),0.2*L18,"")</f>
        <v/>
      </c>
      <c r="P18" s="437"/>
      <c r="Q18" s="675"/>
      <c r="R18" s="676"/>
      <c r="U18" s="688"/>
      <c r="V18" s="689"/>
      <c r="W18" s="274" t="str">
        <f>IF(ISNUMBER('2. Estimación absorción total'!E43),'2. Estimación absorción total'!E43,"")</f>
        <v/>
      </c>
      <c r="X18" s="244" t="str">
        <f>IF(ISNUMBER('2. Estimación absorción total'!H43),'2. Estimación absorción total'!H43,"")</f>
        <v/>
      </c>
      <c r="Y18" s="698" t="str">
        <f>IF(ISNUMBER('2. Estimación absorción total'!J43),'2. Estimación absorción total'!J43,"")</f>
        <v/>
      </c>
      <c r="Z18" s="699"/>
      <c r="AA18" s="696" t="str">
        <f>IF(ISNUMBER('2. Estimación absorción total'!AR44),'2. Estimación absorción total'!AR44,"")</f>
        <v/>
      </c>
      <c r="AB18" s="697"/>
      <c r="AC18" s="246" t="str">
        <f t="shared" ref="AC18:AC32" si="10">IF(ISNUMBER(Y18),0.2*Y18,"")</f>
        <v/>
      </c>
      <c r="AE18" s="410" t="str">
        <f t="shared" si="0"/>
        <v/>
      </c>
      <c r="AF18" s="410" t="str">
        <f t="shared" si="1"/>
        <v/>
      </c>
      <c r="AG18" s="410" t="str">
        <f t="shared" si="2"/>
        <v/>
      </c>
      <c r="AH18" s="410" t="str">
        <f t="shared" si="3"/>
        <v/>
      </c>
      <c r="AI18" s="410" t="str">
        <f t="shared" si="4"/>
        <v/>
      </c>
      <c r="AK18" s="410" t="str">
        <f t="shared" si="5"/>
        <v/>
      </c>
      <c r="AL18" s="410" t="str">
        <f t="shared" si="6"/>
        <v/>
      </c>
      <c r="AM18" s="410" t="str">
        <f t="shared" si="7"/>
        <v/>
      </c>
      <c r="AN18" s="410" t="str">
        <f t="shared" si="8"/>
        <v/>
      </c>
      <c r="AO18" s="410" t="str">
        <f t="shared" si="9"/>
        <v/>
      </c>
      <c r="AQ18" s="432">
        <f>ROUND(SUM(AE32+AK32),0)</f>
        <v>0</v>
      </c>
      <c r="AR18" s="432">
        <f>ROUND(SUM(AF32+AL32),0)</f>
        <v>0</v>
      </c>
      <c r="AS18" s="432">
        <f>ROUND(SUM(AG32+AM32),0)</f>
        <v>0</v>
      </c>
      <c r="AT18" s="432">
        <f>ROUND(SUM(AH32+AN32),0)</f>
        <v>0</v>
      </c>
      <c r="AU18" s="432">
        <f>ROUND(SUM(AI32+AO32),0)</f>
        <v>0</v>
      </c>
    </row>
    <row r="19" spans="4:47" hidden="1" x14ac:dyDescent="0.3">
      <c r="D19" s="700" t="str">
        <f>IF(ISTEXT('2. Estimación absorción total'!D21),'2. Estimación absorción total'!D21,"")</f>
        <v/>
      </c>
      <c r="E19" s="700"/>
      <c r="F19" s="700"/>
      <c r="G19" s="700"/>
      <c r="H19" s="700"/>
      <c r="I19" s="700"/>
      <c r="J19" s="274" t="str">
        <f>IF(ISNUMBER('2. Estimación absorción total'!E21),'2. Estimación absorción total'!E21,"")</f>
        <v/>
      </c>
      <c r="K19" s="244" t="str">
        <f>IF(ISNUMBER('2. Estimación absorción total'!F21),'2. Estimación absorción total'!F21,"")</f>
        <v/>
      </c>
      <c r="L19" s="701" t="str">
        <f>IF(ISNUMBER('2. Estimación absorción total'!H21),'2. Estimación absorción total'!H21,"")</f>
        <v/>
      </c>
      <c r="M19" s="702"/>
      <c r="N19" s="284"/>
      <c r="O19" s="245" t="str">
        <f t="shared" ref="O19:O32" si="11">IF(ISNUMBER(L19),0.2*L19,"")</f>
        <v/>
      </c>
      <c r="P19" s="437"/>
      <c r="Q19" s="675"/>
      <c r="R19" s="676"/>
      <c r="U19" s="688"/>
      <c r="V19" s="689"/>
      <c r="W19" s="274" t="str">
        <f>IF(ISNUMBER('2. Estimación absorción total'!E44),'2. Estimación absorción total'!E44,"")</f>
        <v/>
      </c>
      <c r="X19" s="244" t="str">
        <f>IF(ISNUMBER('2. Estimación absorción total'!H44),'2. Estimación absorción total'!H44,"")</f>
        <v/>
      </c>
      <c r="Y19" s="686" t="str">
        <f>IF(ISNUMBER('2. Estimación absorción total'!J44),'2. Estimación absorción total'!J44,"")</f>
        <v/>
      </c>
      <c r="Z19" s="687"/>
      <c r="AA19" s="684" t="str">
        <f>IF(ISNUMBER('2. Estimación absorción total'!AR45),'2. Estimación absorción total'!AR45,"")</f>
        <v/>
      </c>
      <c r="AB19" s="685"/>
      <c r="AC19" s="246" t="str">
        <f t="shared" si="10"/>
        <v/>
      </c>
      <c r="AE19" s="410" t="str">
        <f t="shared" si="0"/>
        <v/>
      </c>
      <c r="AF19" s="410" t="str">
        <f t="shared" si="1"/>
        <v/>
      </c>
      <c r="AG19" s="410" t="str">
        <f t="shared" si="2"/>
        <v/>
      </c>
      <c r="AH19" s="410" t="str">
        <f t="shared" si="3"/>
        <v/>
      </c>
      <c r="AI19" s="410" t="str">
        <f t="shared" si="4"/>
        <v/>
      </c>
      <c r="AK19" s="410" t="str">
        <f t="shared" si="5"/>
        <v/>
      </c>
      <c r="AL19" s="410" t="str">
        <f t="shared" si="6"/>
        <v/>
      </c>
      <c r="AM19" s="410" t="str">
        <f t="shared" si="7"/>
        <v/>
      </c>
      <c r="AN19" s="410" t="str">
        <f t="shared" si="8"/>
        <v/>
      </c>
      <c r="AO19" s="410" t="str">
        <f t="shared" si="9"/>
        <v/>
      </c>
      <c r="AQ19" s="275" t="str">
        <f>IF(AQ18=0,"",AQ18)</f>
        <v/>
      </c>
      <c r="AR19" s="275" t="str">
        <f>IF(AR18=0,"",AR18)</f>
        <v/>
      </c>
      <c r="AS19" s="275" t="str">
        <f>IF(AS18=0,"",AS18)</f>
        <v/>
      </c>
      <c r="AT19" s="275" t="str">
        <f>IF(AT18=0,"",AT18)</f>
        <v/>
      </c>
      <c r="AU19" s="275" t="str">
        <f>IF(AU18=0,"",AU18)</f>
        <v/>
      </c>
    </row>
    <row r="20" spans="4:47" hidden="1" x14ac:dyDescent="0.3">
      <c r="D20" s="700" t="str">
        <f>IF(ISTEXT('2. Estimación absorción total'!D22),'2. Estimación absorción total'!D22,"")</f>
        <v/>
      </c>
      <c r="E20" s="700"/>
      <c r="F20" s="700"/>
      <c r="G20" s="700"/>
      <c r="H20" s="700"/>
      <c r="I20" s="700"/>
      <c r="J20" s="274" t="str">
        <f>IF(ISNUMBER('2. Estimación absorción total'!E22),'2. Estimación absorción total'!E22,"")</f>
        <v/>
      </c>
      <c r="K20" s="244" t="str">
        <f>IF(ISNUMBER('2. Estimación absorción total'!F22),'2. Estimación absorción total'!F22,"")</f>
        <v/>
      </c>
      <c r="L20" s="701" t="str">
        <f>IF(ISNUMBER('2. Estimación absorción total'!H22),'2. Estimación absorción total'!H22,"")</f>
        <v/>
      </c>
      <c r="M20" s="702"/>
      <c r="N20" s="284"/>
      <c r="O20" s="245" t="str">
        <f t="shared" si="11"/>
        <v/>
      </c>
      <c r="P20" s="437"/>
      <c r="Q20" s="675"/>
      <c r="R20" s="676"/>
      <c r="U20" s="688"/>
      <c r="V20" s="689"/>
      <c r="W20" s="274" t="str">
        <f>IF(ISNUMBER('2. Estimación absorción total'!E45),'2. Estimación absorción total'!E45,"")</f>
        <v/>
      </c>
      <c r="X20" s="244" t="str">
        <f>IF(ISNUMBER('2. Estimación absorción total'!H45),'2. Estimación absorción total'!H45,"")</f>
        <v/>
      </c>
      <c r="Y20" s="686" t="str">
        <f>IF(ISNUMBER('2. Estimación absorción total'!J45),'2. Estimación absorción total'!J45,"")</f>
        <v/>
      </c>
      <c r="Z20" s="687"/>
      <c r="AA20" s="684" t="str">
        <f>IF(ISNUMBER('2. Estimación absorción total'!AR46),'2. Estimación absorción total'!AR46,"")</f>
        <v/>
      </c>
      <c r="AB20" s="685"/>
      <c r="AC20" s="246" t="str">
        <f t="shared" si="10"/>
        <v/>
      </c>
      <c r="AE20" s="410" t="str">
        <f t="shared" si="0"/>
        <v/>
      </c>
      <c r="AF20" s="410" t="str">
        <f t="shared" si="1"/>
        <v/>
      </c>
      <c r="AG20" s="410" t="str">
        <f t="shared" si="2"/>
        <v/>
      </c>
      <c r="AH20" s="410" t="str">
        <f t="shared" si="3"/>
        <v/>
      </c>
      <c r="AI20" s="410" t="str">
        <f t="shared" si="4"/>
        <v/>
      </c>
      <c r="AK20" s="410" t="str">
        <f t="shared" si="5"/>
        <v/>
      </c>
      <c r="AL20" s="410" t="str">
        <f t="shared" si="6"/>
        <v/>
      </c>
      <c r="AM20" s="410" t="str">
        <f t="shared" si="7"/>
        <v/>
      </c>
      <c r="AN20" s="410" t="str">
        <f t="shared" si="8"/>
        <v/>
      </c>
      <c r="AO20" s="410" t="str">
        <f t="shared" si="9"/>
        <v/>
      </c>
      <c r="AQ20" s="436" t="s">
        <v>561</v>
      </c>
    </row>
    <row r="21" spans="4:47" hidden="1" x14ac:dyDescent="0.3">
      <c r="D21" s="700" t="str">
        <f>IF(ISTEXT('2. Estimación absorción total'!D23),'2. Estimación absorción total'!D23,"")</f>
        <v/>
      </c>
      <c r="E21" s="700"/>
      <c r="F21" s="700"/>
      <c r="G21" s="700"/>
      <c r="H21" s="700"/>
      <c r="I21" s="700"/>
      <c r="J21" s="274" t="str">
        <f>IF(ISNUMBER('2. Estimación absorción total'!E23),'2. Estimación absorción total'!E23,"")</f>
        <v/>
      </c>
      <c r="K21" s="244" t="str">
        <f>IF(ISNUMBER('2. Estimación absorción total'!F23),'2. Estimación absorción total'!F23,"")</f>
        <v/>
      </c>
      <c r="L21" s="701" t="str">
        <f>IF(ISNUMBER('2. Estimación absorción total'!H23),'2. Estimación absorción total'!H23,"")</f>
        <v/>
      </c>
      <c r="M21" s="702"/>
      <c r="N21" s="284"/>
      <c r="O21" s="245" t="str">
        <f t="shared" si="11"/>
        <v/>
      </c>
      <c r="P21" s="437"/>
      <c r="Q21" s="675"/>
      <c r="R21" s="676"/>
      <c r="U21" s="688"/>
      <c r="V21" s="689"/>
      <c r="W21" s="274" t="str">
        <f>IF(ISNUMBER('2. Estimación absorción total'!E46),'2. Estimación absorción total'!E46,"")</f>
        <v/>
      </c>
      <c r="X21" s="244" t="str">
        <f>IF(ISNUMBER('2. Estimación absorción total'!H46),'2. Estimación absorción total'!H46,"")</f>
        <v/>
      </c>
      <c r="Y21" s="686" t="str">
        <f>IF(ISNUMBER('2. Estimación absorción total'!J46),'2. Estimación absorción total'!J46,"")</f>
        <v/>
      </c>
      <c r="Z21" s="687"/>
      <c r="AA21" s="684" t="str">
        <f>IF(ISNUMBER('2. Estimación absorción total'!AR47),'2. Estimación absorción total'!AR47,"")</f>
        <v/>
      </c>
      <c r="AB21" s="685"/>
      <c r="AC21" s="246" t="str">
        <f t="shared" si="10"/>
        <v/>
      </c>
      <c r="AE21" s="410" t="str">
        <f t="shared" si="0"/>
        <v/>
      </c>
      <c r="AF21" s="410" t="str">
        <f t="shared" si="1"/>
        <v/>
      </c>
      <c r="AG21" s="410" t="str">
        <f t="shared" si="2"/>
        <v/>
      </c>
      <c r="AH21" s="410" t="str">
        <f t="shared" si="3"/>
        <v/>
      </c>
      <c r="AI21" s="410" t="str">
        <f t="shared" si="4"/>
        <v/>
      </c>
      <c r="AK21" s="410" t="str">
        <f t="shared" si="5"/>
        <v/>
      </c>
      <c r="AL21" s="410" t="str">
        <f t="shared" si="6"/>
        <v/>
      </c>
      <c r="AM21" s="410" t="str">
        <f t="shared" si="7"/>
        <v/>
      </c>
      <c r="AN21" s="410" t="str">
        <f t="shared" si="8"/>
        <v/>
      </c>
      <c r="AO21" s="410" t="str">
        <f t="shared" si="9"/>
        <v/>
      </c>
    </row>
    <row r="22" spans="4:47" hidden="1" x14ac:dyDescent="0.3">
      <c r="D22" s="700" t="str">
        <f>IF(ISTEXT('2. Estimación absorción total'!D24),'2. Estimación absorción total'!D24,"")</f>
        <v/>
      </c>
      <c r="E22" s="700"/>
      <c r="F22" s="700"/>
      <c r="G22" s="700"/>
      <c r="H22" s="700"/>
      <c r="I22" s="700"/>
      <c r="J22" s="274" t="str">
        <f>IF(ISNUMBER('2. Estimación absorción total'!E24),'2. Estimación absorción total'!E24,"")</f>
        <v/>
      </c>
      <c r="K22" s="244" t="str">
        <f>IF(ISNUMBER('2. Estimación absorción total'!F24),'2. Estimación absorción total'!F24,"")</f>
        <v/>
      </c>
      <c r="L22" s="701" t="str">
        <f>IF(ISNUMBER('2. Estimación absorción total'!H24),'2. Estimación absorción total'!H24,"")</f>
        <v/>
      </c>
      <c r="M22" s="702"/>
      <c r="N22" s="284"/>
      <c r="O22" s="245" t="str">
        <f t="shared" si="11"/>
        <v/>
      </c>
      <c r="P22" s="437"/>
      <c r="Q22" s="675"/>
      <c r="R22" s="676"/>
      <c r="U22" s="688"/>
      <c r="V22" s="689"/>
      <c r="W22" s="274" t="str">
        <f>IF(ISNUMBER('2. Estimación absorción total'!E47),'2. Estimación absorción total'!E47,"")</f>
        <v/>
      </c>
      <c r="X22" s="244" t="str">
        <f>IF(ISNUMBER('2. Estimación absorción total'!H47),'2. Estimación absorción total'!H47,"")</f>
        <v/>
      </c>
      <c r="Y22" s="686" t="str">
        <f>IF(ISNUMBER('2. Estimación absorción total'!J47),'2. Estimación absorción total'!J47,"")</f>
        <v/>
      </c>
      <c r="Z22" s="687"/>
      <c r="AA22" s="684" t="str">
        <f>IF(ISNUMBER('2. Estimación absorción total'!AR48),'2. Estimación absorción total'!AR48,"")</f>
        <v/>
      </c>
      <c r="AB22" s="685"/>
      <c r="AC22" s="246" t="str">
        <f t="shared" si="10"/>
        <v/>
      </c>
      <c r="AE22" s="410" t="str">
        <f t="shared" si="0"/>
        <v/>
      </c>
      <c r="AF22" s="410" t="str">
        <f t="shared" si="1"/>
        <v/>
      </c>
      <c r="AG22" s="410" t="str">
        <f t="shared" si="2"/>
        <v/>
      </c>
      <c r="AH22" s="410" t="str">
        <f t="shared" si="3"/>
        <v/>
      </c>
      <c r="AI22" s="410" t="str">
        <f t="shared" si="4"/>
        <v/>
      </c>
      <c r="AK22" s="410" t="str">
        <f t="shared" si="5"/>
        <v/>
      </c>
      <c r="AL22" s="410" t="str">
        <f t="shared" si="6"/>
        <v/>
      </c>
      <c r="AM22" s="410" t="str">
        <f t="shared" si="7"/>
        <v/>
      </c>
      <c r="AN22" s="410" t="str">
        <f t="shared" si="8"/>
        <v/>
      </c>
      <c r="AO22" s="410" t="str">
        <f t="shared" si="9"/>
        <v/>
      </c>
    </row>
    <row r="23" spans="4:47" hidden="1" x14ac:dyDescent="0.3">
      <c r="D23" s="700" t="str">
        <f>IF(ISTEXT('2. Estimación absorción total'!D25),'2. Estimación absorción total'!D25,"")</f>
        <v/>
      </c>
      <c r="E23" s="700"/>
      <c r="F23" s="700"/>
      <c r="G23" s="700"/>
      <c r="H23" s="700"/>
      <c r="I23" s="700"/>
      <c r="J23" s="274" t="str">
        <f>IF(ISNUMBER('2. Estimación absorción total'!E25),'2. Estimación absorción total'!E25,"")</f>
        <v/>
      </c>
      <c r="K23" s="244" t="str">
        <f>IF(ISNUMBER('2. Estimación absorción total'!F25),'2. Estimación absorción total'!F25,"")</f>
        <v/>
      </c>
      <c r="L23" s="701" t="str">
        <f>IF(ISNUMBER('2. Estimación absorción total'!H25),'2. Estimación absorción total'!H25,"")</f>
        <v/>
      </c>
      <c r="M23" s="702"/>
      <c r="N23" s="284"/>
      <c r="O23" s="245" t="str">
        <f t="shared" si="11"/>
        <v/>
      </c>
      <c r="P23" s="437"/>
      <c r="Q23" s="675"/>
      <c r="R23" s="676"/>
      <c r="U23" s="688"/>
      <c r="V23" s="689"/>
      <c r="W23" s="274" t="str">
        <f>IF(ISNUMBER('2. Estimación absorción total'!E48),'2. Estimación absorción total'!E48,"")</f>
        <v/>
      </c>
      <c r="X23" s="244" t="str">
        <f>IF(ISNUMBER('2. Estimación absorción total'!H48),'2. Estimación absorción total'!H48,"")</f>
        <v/>
      </c>
      <c r="Y23" s="686" t="str">
        <f>IF(ISNUMBER('2. Estimación absorción total'!J48),'2. Estimación absorción total'!J48,"")</f>
        <v/>
      </c>
      <c r="Z23" s="687"/>
      <c r="AA23" s="684" t="str">
        <f>IF(ISNUMBER('2. Estimación absorción total'!AR49),'2. Estimación absorción total'!AR49,"")</f>
        <v/>
      </c>
      <c r="AB23" s="685"/>
      <c r="AC23" s="246" t="str">
        <f t="shared" si="10"/>
        <v/>
      </c>
      <c r="AE23" s="410" t="str">
        <f t="shared" si="0"/>
        <v/>
      </c>
      <c r="AF23" s="410" t="str">
        <f t="shared" si="1"/>
        <v/>
      </c>
      <c r="AG23" s="410" t="str">
        <f t="shared" si="2"/>
        <v/>
      </c>
      <c r="AH23" s="410" t="str">
        <f t="shared" si="3"/>
        <v/>
      </c>
      <c r="AI23" s="410" t="str">
        <f t="shared" si="4"/>
        <v/>
      </c>
      <c r="AK23" s="410" t="str">
        <f t="shared" si="5"/>
        <v/>
      </c>
      <c r="AL23" s="410" t="str">
        <f t="shared" si="6"/>
        <v/>
      </c>
      <c r="AM23" s="410" t="str">
        <f t="shared" si="7"/>
        <v/>
      </c>
      <c r="AN23" s="410" t="str">
        <f t="shared" si="8"/>
        <v/>
      </c>
      <c r="AO23" s="410" t="str">
        <f t="shared" si="9"/>
        <v/>
      </c>
    </row>
    <row r="24" spans="4:47" hidden="1" x14ac:dyDescent="0.3">
      <c r="D24" s="700" t="str">
        <f>IF(ISTEXT('2. Estimación absorción total'!D26),'2. Estimación absorción total'!D26,"")</f>
        <v/>
      </c>
      <c r="E24" s="700"/>
      <c r="F24" s="700"/>
      <c r="G24" s="700"/>
      <c r="H24" s="700"/>
      <c r="I24" s="700"/>
      <c r="J24" s="274" t="str">
        <f>IF(ISNUMBER('2. Estimación absorción total'!E26),'2. Estimación absorción total'!E26,"")</f>
        <v/>
      </c>
      <c r="K24" s="244" t="str">
        <f>IF(ISNUMBER('2. Estimación absorción total'!F26),'2. Estimación absorción total'!F26,"")</f>
        <v/>
      </c>
      <c r="L24" s="701" t="str">
        <f>IF(ISNUMBER('2. Estimación absorción total'!H26),'2. Estimación absorción total'!H26,"")</f>
        <v/>
      </c>
      <c r="M24" s="702"/>
      <c r="N24" s="284"/>
      <c r="O24" s="245" t="str">
        <f t="shared" si="11"/>
        <v/>
      </c>
      <c r="P24" s="437"/>
      <c r="Q24" s="675"/>
      <c r="R24" s="676"/>
      <c r="U24" s="688"/>
      <c r="V24" s="689"/>
      <c r="W24" s="274" t="str">
        <f>IF(ISNUMBER('2. Estimación absorción total'!E49),'2. Estimación absorción total'!E49,"")</f>
        <v/>
      </c>
      <c r="X24" s="244" t="str">
        <f>IF(ISNUMBER('2. Estimación absorción total'!H49),'2. Estimación absorción total'!H49,"")</f>
        <v/>
      </c>
      <c r="Y24" s="686" t="str">
        <f>IF(ISNUMBER('2. Estimación absorción total'!J49),'2. Estimación absorción total'!J49,"")</f>
        <v/>
      </c>
      <c r="Z24" s="687"/>
      <c r="AA24" s="684" t="str">
        <f>IF(ISNUMBER('2. Estimación absorción total'!AR50),'2. Estimación absorción total'!AR50,"")</f>
        <v/>
      </c>
      <c r="AB24" s="685"/>
      <c r="AC24" s="246" t="str">
        <f t="shared" si="10"/>
        <v/>
      </c>
      <c r="AE24" s="410" t="str">
        <f t="shared" si="0"/>
        <v/>
      </c>
      <c r="AF24" s="410" t="str">
        <f t="shared" si="1"/>
        <v/>
      </c>
      <c r="AG24" s="410" t="str">
        <f t="shared" si="2"/>
        <v/>
      </c>
      <c r="AH24" s="410" t="str">
        <f t="shared" si="3"/>
        <v/>
      </c>
      <c r="AI24" s="410" t="str">
        <f t="shared" si="4"/>
        <v/>
      </c>
      <c r="AK24" s="410" t="str">
        <f t="shared" si="5"/>
        <v/>
      </c>
      <c r="AL24" s="410" t="str">
        <f t="shared" si="6"/>
        <v/>
      </c>
      <c r="AM24" s="410" t="str">
        <f t="shared" si="7"/>
        <v/>
      </c>
      <c r="AN24" s="410" t="str">
        <f t="shared" si="8"/>
        <v/>
      </c>
      <c r="AO24" s="410" t="str">
        <f t="shared" si="9"/>
        <v/>
      </c>
    </row>
    <row r="25" spans="4:47" hidden="1" x14ac:dyDescent="0.3">
      <c r="D25" s="700" t="str">
        <f>IF(ISTEXT('2. Estimación absorción total'!D27),'2. Estimación absorción total'!D27,"")</f>
        <v/>
      </c>
      <c r="E25" s="700"/>
      <c r="F25" s="700"/>
      <c r="G25" s="700"/>
      <c r="H25" s="700"/>
      <c r="I25" s="700"/>
      <c r="J25" s="274" t="str">
        <f>IF(ISNUMBER('2. Estimación absorción total'!E27),'2. Estimación absorción total'!E27,"")</f>
        <v/>
      </c>
      <c r="K25" s="244" t="str">
        <f>IF(ISNUMBER('2. Estimación absorción total'!F27),'2. Estimación absorción total'!F27,"")</f>
        <v/>
      </c>
      <c r="L25" s="701" t="str">
        <f>IF(ISNUMBER('2. Estimación absorción total'!H27),'2. Estimación absorción total'!H27,"")</f>
        <v/>
      </c>
      <c r="M25" s="702"/>
      <c r="N25" s="284"/>
      <c r="O25" s="245" t="str">
        <f t="shared" si="11"/>
        <v/>
      </c>
      <c r="P25" s="437"/>
      <c r="Q25" s="706">
        <f>SUM(O18:O32)</f>
        <v>0</v>
      </c>
      <c r="R25" s="707"/>
      <c r="U25" s="688"/>
      <c r="V25" s="689"/>
      <c r="W25" s="274" t="str">
        <f>IF(ISNUMBER('2. Estimación absorción total'!E50),'2. Estimación absorción total'!E50,"")</f>
        <v/>
      </c>
      <c r="X25" s="244" t="str">
        <f>IF(ISNUMBER('2. Estimación absorción total'!H50),'2. Estimación absorción total'!H50,"")</f>
        <v/>
      </c>
      <c r="Y25" s="686" t="str">
        <f>IF(ISNUMBER('2. Estimación absorción total'!J50),'2. Estimación absorción total'!J50,"")</f>
        <v/>
      </c>
      <c r="Z25" s="687"/>
      <c r="AA25" s="684" t="str">
        <f>IF(ISNUMBER('2. Estimación absorción total'!AR51),'2. Estimación absorción total'!AR51,"")</f>
        <v/>
      </c>
      <c r="AB25" s="685"/>
      <c r="AC25" s="246" t="str">
        <f t="shared" si="10"/>
        <v/>
      </c>
      <c r="AE25" s="410" t="str">
        <f t="shared" si="0"/>
        <v/>
      </c>
      <c r="AF25" s="410" t="str">
        <f t="shared" si="1"/>
        <v/>
      </c>
      <c r="AG25" s="410" t="str">
        <f t="shared" si="2"/>
        <v/>
      </c>
      <c r="AH25" s="410" t="str">
        <f t="shared" si="3"/>
        <v/>
      </c>
      <c r="AI25" s="410" t="str">
        <f t="shared" si="4"/>
        <v/>
      </c>
      <c r="AK25" s="410" t="str">
        <f t="shared" si="5"/>
        <v/>
      </c>
      <c r="AL25" s="410" t="str">
        <f t="shared" si="6"/>
        <v/>
      </c>
      <c r="AM25" s="410" t="str">
        <f t="shared" si="7"/>
        <v/>
      </c>
      <c r="AN25" s="410" t="str">
        <f t="shared" si="8"/>
        <v/>
      </c>
      <c r="AO25" s="410" t="str">
        <f t="shared" si="9"/>
        <v/>
      </c>
    </row>
    <row r="26" spans="4:47" hidden="1" x14ac:dyDescent="0.3">
      <c r="D26" s="700" t="str">
        <f>IF(ISTEXT('2. Estimación absorción total'!D28),'2. Estimación absorción total'!D28,"")</f>
        <v/>
      </c>
      <c r="E26" s="700"/>
      <c r="F26" s="700"/>
      <c r="G26" s="700"/>
      <c r="H26" s="700"/>
      <c r="I26" s="700"/>
      <c r="J26" s="274" t="str">
        <f>IF(ISNUMBER('2. Estimación absorción total'!E28),'2. Estimación absorción total'!E28,"")</f>
        <v/>
      </c>
      <c r="K26" s="244" t="str">
        <f>IF(ISNUMBER('2. Estimación absorción total'!F28),'2. Estimación absorción total'!F28,"")</f>
        <v/>
      </c>
      <c r="L26" s="701" t="str">
        <f>IF(ISNUMBER('2. Estimación absorción total'!H28),'2. Estimación absorción total'!H28,"")</f>
        <v/>
      </c>
      <c r="M26" s="702"/>
      <c r="N26" s="284"/>
      <c r="O26" s="245" t="str">
        <f t="shared" si="11"/>
        <v/>
      </c>
      <c r="P26" s="437"/>
      <c r="Q26" s="675"/>
      <c r="R26" s="676"/>
      <c r="U26" s="688"/>
      <c r="V26" s="689"/>
      <c r="W26" s="274" t="str">
        <f>IF(ISNUMBER('2. Estimación absorción total'!E51),'2. Estimación absorción total'!E51,"")</f>
        <v/>
      </c>
      <c r="X26" s="244" t="str">
        <f>IF(ISNUMBER('2. Estimación absorción total'!H51),'2. Estimación absorción total'!H51,"")</f>
        <v/>
      </c>
      <c r="Y26" s="686" t="str">
        <f>IF(ISNUMBER('2. Estimación absorción total'!J51),'2. Estimación absorción total'!J51,"")</f>
        <v/>
      </c>
      <c r="Z26" s="687"/>
      <c r="AA26" s="684" t="str">
        <f>IF(ISNUMBER('2. Estimación absorción total'!AR52),'2. Estimación absorción total'!AR52,"")</f>
        <v/>
      </c>
      <c r="AB26" s="685"/>
      <c r="AC26" s="246" t="str">
        <f t="shared" si="10"/>
        <v/>
      </c>
      <c r="AE26" s="410" t="str">
        <f t="shared" si="0"/>
        <v/>
      </c>
      <c r="AF26" s="410" t="str">
        <f t="shared" si="1"/>
        <v/>
      </c>
      <c r="AG26" s="410" t="str">
        <f t="shared" si="2"/>
        <v/>
      </c>
      <c r="AH26" s="410" t="str">
        <f t="shared" si="3"/>
        <v/>
      </c>
      <c r="AI26" s="410" t="str">
        <f t="shared" si="4"/>
        <v/>
      </c>
      <c r="AK26" s="410" t="str">
        <f t="shared" si="5"/>
        <v/>
      </c>
      <c r="AL26" s="410" t="str">
        <f t="shared" si="6"/>
        <v/>
      </c>
      <c r="AM26" s="410" t="str">
        <f t="shared" si="7"/>
        <v/>
      </c>
      <c r="AN26" s="410" t="str">
        <f t="shared" si="8"/>
        <v/>
      </c>
      <c r="AO26" s="410" t="str">
        <f t="shared" si="9"/>
        <v/>
      </c>
    </row>
    <row r="27" spans="4:47" hidden="1" x14ac:dyDescent="0.3">
      <c r="D27" s="700" t="str">
        <f>IF(ISTEXT('2. Estimación absorción total'!D29),'2. Estimación absorción total'!D29,"")</f>
        <v/>
      </c>
      <c r="E27" s="700"/>
      <c r="F27" s="700"/>
      <c r="G27" s="700"/>
      <c r="H27" s="700"/>
      <c r="I27" s="700"/>
      <c r="J27" s="274" t="str">
        <f>IF(ISNUMBER('2. Estimación absorción total'!E29),'2. Estimación absorción total'!E29,"")</f>
        <v/>
      </c>
      <c r="K27" s="244" t="str">
        <f>IF(ISNUMBER('2. Estimación absorción total'!F29),'2. Estimación absorción total'!F29,"")</f>
        <v/>
      </c>
      <c r="L27" s="701" t="str">
        <f>IF(ISNUMBER('2. Estimación absorción total'!H29),'2. Estimación absorción total'!H29,"")</f>
        <v/>
      </c>
      <c r="M27" s="702"/>
      <c r="N27" s="284"/>
      <c r="O27" s="245" t="str">
        <f t="shared" si="11"/>
        <v/>
      </c>
      <c r="P27" s="437"/>
      <c r="Q27" s="675"/>
      <c r="R27" s="676"/>
      <c r="U27" s="688"/>
      <c r="V27" s="689"/>
      <c r="W27" s="274" t="str">
        <f>IF(ISNUMBER('2. Estimación absorción total'!E52),'2. Estimación absorción total'!E52,"")</f>
        <v/>
      </c>
      <c r="X27" s="244" t="str">
        <f>IF(ISNUMBER('2. Estimación absorción total'!H52),'2. Estimación absorción total'!H52,"")</f>
        <v/>
      </c>
      <c r="Y27" s="686" t="str">
        <f>IF(ISNUMBER('2. Estimación absorción total'!J52),'2. Estimación absorción total'!J52,"")</f>
        <v/>
      </c>
      <c r="Z27" s="687"/>
      <c r="AA27" s="684" t="str">
        <f>IF(ISNUMBER('2. Estimación absorción total'!AR53),'2. Estimación absorción total'!AR53,"")</f>
        <v/>
      </c>
      <c r="AB27" s="685"/>
      <c r="AC27" s="246" t="str">
        <f t="shared" si="10"/>
        <v/>
      </c>
      <c r="AE27" s="410" t="str">
        <f t="shared" si="0"/>
        <v/>
      </c>
      <c r="AF27" s="410" t="str">
        <f t="shared" si="1"/>
        <v/>
      </c>
      <c r="AG27" s="410" t="str">
        <f t="shared" si="2"/>
        <v/>
      </c>
      <c r="AH27" s="410" t="str">
        <f t="shared" si="3"/>
        <v/>
      </c>
      <c r="AI27" s="410" t="str">
        <f t="shared" si="4"/>
        <v/>
      </c>
      <c r="AK27" s="410" t="str">
        <f t="shared" si="5"/>
        <v/>
      </c>
      <c r="AL27" s="410" t="str">
        <f t="shared" si="6"/>
        <v/>
      </c>
      <c r="AM27" s="410" t="str">
        <f t="shared" si="7"/>
        <v/>
      </c>
      <c r="AN27" s="410" t="str">
        <f t="shared" si="8"/>
        <v/>
      </c>
      <c r="AO27" s="410" t="str">
        <f t="shared" si="9"/>
        <v/>
      </c>
    </row>
    <row r="28" spans="4:47" hidden="1" x14ac:dyDescent="0.3">
      <c r="D28" s="700" t="str">
        <f>IF(ISTEXT('2. Estimación absorción total'!D30),'2. Estimación absorción total'!D30,"")</f>
        <v/>
      </c>
      <c r="E28" s="700"/>
      <c r="F28" s="700"/>
      <c r="G28" s="700"/>
      <c r="H28" s="700"/>
      <c r="I28" s="700"/>
      <c r="J28" s="274" t="str">
        <f>IF(ISNUMBER('2. Estimación absorción total'!E30),'2. Estimación absorción total'!E30,"")</f>
        <v/>
      </c>
      <c r="K28" s="244" t="str">
        <f>IF(ISNUMBER('2. Estimación absorción total'!F30),'2. Estimación absorción total'!F30,"")</f>
        <v/>
      </c>
      <c r="L28" s="701" t="str">
        <f>IF(ISNUMBER('2. Estimación absorción total'!H30),'2. Estimación absorción total'!H30,"")</f>
        <v/>
      </c>
      <c r="M28" s="702"/>
      <c r="N28" s="284"/>
      <c r="O28" s="245" t="str">
        <f t="shared" si="11"/>
        <v/>
      </c>
      <c r="P28" s="437"/>
      <c r="Q28" s="675"/>
      <c r="R28" s="676"/>
      <c r="U28" s="688"/>
      <c r="V28" s="689"/>
      <c r="W28" s="274" t="str">
        <f>IF(ISNUMBER('2. Estimación absorción total'!E53),'2. Estimación absorción total'!E53,"")</f>
        <v/>
      </c>
      <c r="X28" s="244" t="str">
        <f>IF(ISNUMBER('2. Estimación absorción total'!H53),'2. Estimación absorción total'!H53,"")</f>
        <v/>
      </c>
      <c r="Y28" s="686" t="str">
        <f>IF(ISNUMBER('2. Estimación absorción total'!J53),'2. Estimación absorción total'!J53,"")</f>
        <v/>
      </c>
      <c r="Z28" s="687"/>
      <c r="AA28" s="684" t="str">
        <f>IF(ISNUMBER('2. Estimación absorción total'!AR54),'2. Estimación absorción total'!AR54,"")</f>
        <v/>
      </c>
      <c r="AB28" s="685"/>
      <c r="AC28" s="246" t="str">
        <f t="shared" si="10"/>
        <v/>
      </c>
      <c r="AE28" s="410" t="str">
        <f t="shared" si="0"/>
        <v/>
      </c>
      <c r="AF28" s="410" t="str">
        <f t="shared" si="1"/>
        <v/>
      </c>
      <c r="AG28" s="410" t="str">
        <f t="shared" si="2"/>
        <v/>
      </c>
      <c r="AH28" s="410" t="str">
        <f t="shared" si="3"/>
        <v/>
      </c>
      <c r="AI28" s="410" t="str">
        <f t="shared" si="4"/>
        <v/>
      </c>
      <c r="AK28" s="410" t="str">
        <f t="shared" si="5"/>
        <v/>
      </c>
      <c r="AL28" s="410" t="str">
        <f t="shared" si="6"/>
        <v/>
      </c>
      <c r="AM28" s="410" t="str">
        <f t="shared" si="7"/>
        <v/>
      </c>
      <c r="AN28" s="410" t="str">
        <f t="shared" si="8"/>
        <v/>
      </c>
      <c r="AO28" s="410" t="str">
        <f t="shared" si="9"/>
        <v/>
      </c>
    </row>
    <row r="29" spans="4:47" hidden="1" x14ac:dyDescent="0.3">
      <c r="D29" s="700" t="str">
        <f>IF(ISTEXT('2. Estimación absorción total'!D31),'2. Estimación absorción total'!D31,"")</f>
        <v/>
      </c>
      <c r="E29" s="700"/>
      <c r="F29" s="700"/>
      <c r="G29" s="700"/>
      <c r="H29" s="700"/>
      <c r="I29" s="700"/>
      <c r="J29" s="274" t="str">
        <f>IF(ISNUMBER('2. Estimación absorción total'!E31),'2. Estimación absorción total'!E31,"")</f>
        <v/>
      </c>
      <c r="K29" s="244" t="str">
        <f>IF(ISNUMBER('2. Estimación absorción total'!F31),'2. Estimación absorción total'!F31,"")</f>
        <v/>
      </c>
      <c r="L29" s="701" t="str">
        <f>IF(ISNUMBER('2. Estimación absorción total'!H31),'2. Estimación absorción total'!H31,"")</f>
        <v/>
      </c>
      <c r="M29" s="702"/>
      <c r="N29" s="284"/>
      <c r="O29" s="245" t="str">
        <f t="shared" si="11"/>
        <v/>
      </c>
      <c r="P29" s="437"/>
      <c r="Q29" s="675"/>
      <c r="R29" s="676"/>
      <c r="U29" s="688"/>
      <c r="V29" s="689"/>
      <c r="W29" s="274" t="str">
        <f>IF(ISNUMBER('2. Estimación absorción total'!E54),'2. Estimación absorción total'!E54,"")</f>
        <v/>
      </c>
      <c r="X29" s="244" t="str">
        <f>IF(ISNUMBER('2. Estimación absorción total'!H54),'2. Estimación absorción total'!H54,"")</f>
        <v/>
      </c>
      <c r="Y29" s="686" t="str">
        <f>IF(ISNUMBER('2. Estimación absorción total'!J54),'2. Estimación absorción total'!J54,"")</f>
        <v/>
      </c>
      <c r="Z29" s="687"/>
      <c r="AA29" s="684" t="str">
        <f>IF(ISNUMBER('2. Estimación absorción total'!AR55),'2. Estimación absorción total'!AR55,"")</f>
        <v/>
      </c>
      <c r="AB29" s="685"/>
      <c r="AC29" s="246" t="str">
        <f t="shared" si="10"/>
        <v/>
      </c>
      <c r="AE29" s="410" t="str">
        <f t="shared" si="0"/>
        <v/>
      </c>
      <c r="AF29" s="410" t="str">
        <f t="shared" si="1"/>
        <v/>
      </c>
      <c r="AG29" s="410" t="str">
        <f t="shared" si="2"/>
        <v/>
      </c>
      <c r="AH29" s="410" t="str">
        <f t="shared" si="3"/>
        <v/>
      </c>
      <c r="AI29" s="410" t="str">
        <f t="shared" si="4"/>
        <v/>
      </c>
      <c r="AK29" s="410" t="str">
        <f t="shared" si="5"/>
        <v/>
      </c>
      <c r="AL29" s="410" t="str">
        <f t="shared" si="6"/>
        <v/>
      </c>
      <c r="AM29" s="410" t="str">
        <f t="shared" si="7"/>
        <v/>
      </c>
      <c r="AN29" s="410" t="str">
        <f t="shared" si="8"/>
        <v/>
      </c>
      <c r="AO29" s="410" t="str">
        <f t="shared" si="9"/>
        <v/>
      </c>
    </row>
    <row r="30" spans="4:47" hidden="1" x14ac:dyDescent="0.3">
      <c r="D30" s="700" t="str">
        <f>IF(ISTEXT('2. Estimación absorción total'!D32),'2. Estimación absorción total'!D32,"")</f>
        <v/>
      </c>
      <c r="E30" s="700"/>
      <c r="F30" s="700"/>
      <c r="G30" s="700"/>
      <c r="H30" s="700"/>
      <c r="I30" s="700"/>
      <c r="J30" s="274" t="str">
        <f>IF(ISNUMBER('2. Estimación absorción total'!E32),'2. Estimación absorción total'!E32,"")</f>
        <v/>
      </c>
      <c r="K30" s="244" t="str">
        <f>IF(ISNUMBER('2. Estimación absorción total'!F32),'2. Estimación absorción total'!F32,"")</f>
        <v/>
      </c>
      <c r="L30" s="701" t="str">
        <f>IF(ISNUMBER('2. Estimación absorción total'!H32),'2. Estimación absorción total'!H32,"")</f>
        <v/>
      </c>
      <c r="M30" s="702"/>
      <c r="N30" s="284"/>
      <c r="O30" s="245" t="str">
        <f t="shared" si="11"/>
        <v/>
      </c>
      <c r="P30" s="437"/>
      <c r="Q30" s="675"/>
      <c r="R30" s="676"/>
      <c r="U30" s="688"/>
      <c r="V30" s="689"/>
      <c r="W30" s="274" t="str">
        <f>IF(ISNUMBER('2. Estimación absorción total'!E55),'2. Estimación absorción total'!E55,"")</f>
        <v/>
      </c>
      <c r="X30" s="244" t="str">
        <f>IF(ISNUMBER('2. Estimación absorción total'!H55),'2. Estimación absorción total'!H55,"")</f>
        <v/>
      </c>
      <c r="Y30" s="686" t="str">
        <f>IF(ISNUMBER('2. Estimación absorción total'!J55),'2. Estimación absorción total'!J55,"")</f>
        <v/>
      </c>
      <c r="Z30" s="687"/>
      <c r="AA30" s="684" t="str">
        <f>IF(ISNUMBER('2. Estimación absorción total'!AR56),'2. Estimación absorción total'!AR56,"")</f>
        <v/>
      </c>
      <c r="AB30" s="685"/>
      <c r="AC30" s="246" t="str">
        <f t="shared" si="10"/>
        <v/>
      </c>
      <c r="AE30" s="410" t="str">
        <f t="shared" si="0"/>
        <v/>
      </c>
      <c r="AF30" s="410" t="str">
        <f t="shared" si="1"/>
        <v/>
      </c>
      <c r="AG30" s="410" t="str">
        <f t="shared" si="2"/>
        <v/>
      </c>
      <c r="AH30" s="410" t="str">
        <f t="shared" si="3"/>
        <v/>
      </c>
      <c r="AI30" s="410" t="str">
        <f t="shared" si="4"/>
        <v/>
      </c>
      <c r="AK30" s="410" t="str">
        <f t="shared" si="5"/>
        <v/>
      </c>
      <c r="AL30" s="410" t="str">
        <f t="shared" si="6"/>
        <v/>
      </c>
      <c r="AM30" s="410" t="str">
        <f t="shared" si="7"/>
        <v/>
      </c>
      <c r="AN30" s="410" t="str">
        <f t="shared" si="8"/>
        <v/>
      </c>
      <c r="AO30" s="410" t="str">
        <f t="shared" si="9"/>
        <v/>
      </c>
    </row>
    <row r="31" spans="4:47" hidden="1" x14ac:dyDescent="0.3">
      <c r="D31" s="700" t="str">
        <f>IF(ISTEXT('2. Estimación absorción total'!D33),'2. Estimación absorción total'!D33,"")</f>
        <v/>
      </c>
      <c r="E31" s="700"/>
      <c r="F31" s="700"/>
      <c r="G31" s="700"/>
      <c r="H31" s="700"/>
      <c r="I31" s="700"/>
      <c r="J31" s="274" t="str">
        <f>IF(ISNUMBER('2. Estimación absorción total'!E33),'2. Estimación absorción total'!E33,"")</f>
        <v/>
      </c>
      <c r="K31" s="244" t="str">
        <f>IF(ISNUMBER('2. Estimación absorción total'!F33),'2. Estimación absorción total'!F33,"")</f>
        <v/>
      </c>
      <c r="L31" s="701" t="str">
        <f>IF(ISNUMBER('2. Estimación absorción total'!H33),'2. Estimación absorción total'!H33,"")</f>
        <v/>
      </c>
      <c r="M31" s="702"/>
      <c r="N31" s="284"/>
      <c r="O31" s="245" t="str">
        <f t="shared" si="11"/>
        <v/>
      </c>
      <c r="P31" s="437"/>
      <c r="Q31" s="675"/>
      <c r="R31" s="676"/>
      <c r="U31" s="688"/>
      <c r="V31" s="689"/>
      <c r="W31" s="274" t="str">
        <f>IF(ISNUMBER('2. Estimación absorción total'!E56),'2. Estimación absorción total'!E56,"")</f>
        <v/>
      </c>
      <c r="X31" s="244" t="str">
        <f>IF(ISNUMBER('2. Estimación absorción total'!H56),'2. Estimación absorción total'!H56,"")</f>
        <v/>
      </c>
      <c r="Y31" s="686" t="str">
        <f>IF(ISNUMBER('2. Estimación absorción total'!J56),'2. Estimación absorción total'!J56,"")</f>
        <v/>
      </c>
      <c r="Z31" s="687"/>
      <c r="AA31" s="684" t="str">
        <f>IF(ISNUMBER('2. Estimación absorción total'!AR57),'2. Estimación absorción total'!AR57,"")</f>
        <v/>
      </c>
      <c r="AB31" s="685"/>
      <c r="AC31" s="246" t="str">
        <f t="shared" si="10"/>
        <v/>
      </c>
      <c r="AE31" s="410" t="str">
        <f t="shared" si="0"/>
        <v/>
      </c>
      <c r="AF31" s="410" t="str">
        <f t="shared" si="1"/>
        <v/>
      </c>
      <c r="AG31" s="410" t="str">
        <f t="shared" si="2"/>
        <v/>
      </c>
      <c r="AH31" s="410" t="str">
        <f t="shared" si="3"/>
        <v/>
      </c>
      <c r="AI31" s="410" t="str">
        <f t="shared" si="4"/>
        <v/>
      </c>
      <c r="AK31" s="410" t="str">
        <f t="shared" si="5"/>
        <v/>
      </c>
      <c r="AL31" s="410" t="str">
        <f t="shared" si="6"/>
        <v/>
      </c>
      <c r="AM31" s="410" t="str">
        <f t="shared" si="7"/>
        <v/>
      </c>
      <c r="AN31" s="410" t="str">
        <f t="shared" si="8"/>
        <v/>
      </c>
      <c r="AO31" s="410" t="str">
        <f t="shared" si="9"/>
        <v/>
      </c>
    </row>
    <row r="32" spans="4:47" hidden="1" x14ac:dyDescent="0.3">
      <c r="D32" s="700" t="str">
        <f>IF(ISTEXT('2. Estimación absorción total'!D34),'2. Estimación absorción total'!D34,"")</f>
        <v/>
      </c>
      <c r="E32" s="700"/>
      <c r="F32" s="700"/>
      <c r="G32" s="700"/>
      <c r="H32" s="700"/>
      <c r="I32" s="700"/>
      <c r="J32" s="274" t="str">
        <f>IF(ISNUMBER('2. Estimación absorción total'!E34),'2. Estimación absorción total'!E34,"")</f>
        <v/>
      </c>
      <c r="K32" s="244" t="str">
        <f>IF(ISNUMBER('2. Estimación absorción total'!F34),'2. Estimación absorción total'!F34,"")</f>
        <v/>
      </c>
      <c r="L32" s="701" t="str">
        <f>IF(ISNUMBER('2. Estimación absorción total'!H34),'2. Estimación absorción total'!H34,"")</f>
        <v/>
      </c>
      <c r="M32" s="702"/>
      <c r="N32" s="284"/>
      <c r="O32" s="245" t="str">
        <f t="shared" si="11"/>
        <v/>
      </c>
      <c r="P32" s="245"/>
      <c r="Q32" s="708"/>
      <c r="R32" s="709"/>
      <c r="U32" s="688"/>
      <c r="V32" s="689"/>
      <c r="W32" s="274" t="str">
        <f>IF(ISNUMBER('2. Estimación absorción total'!E57),'2. Estimación absorción total'!E57,"")</f>
        <v/>
      </c>
      <c r="X32" s="244" t="str">
        <f>IF(ISNUMBER('2. Estimación absorción total'!H57),'2. Estimación absorción total'!H57,"")</f>
        <v/>
      </c>
      <c r="Y32" s="686" t="str">
        <f>IF(ISNUMBER('2. Estimación absorción total'!J57),'2. Estimación absorción total'!J57,"")</f>
        <v/>
      </c>
      <c r="Z32" s="687"/>
      <c r="AA32" s="684" t="str">
        <f>IF(ISNUMBER('2. Estimación absorción total'!AR58),'2. Estimación absorción total'!AR58,"")</f>
        <v/>
      </c>
      <c r="AB32" s="685"/>
      <c r="AC32" s="246" t="str">
        <f t="shared" si="10"/>
        <v/>
      </c>
      <c r="AE32" s="275">
        <f>SUM(AE17:AE31)</f>
        <v>0</v>
      </c>
      <c r="AF32" s="275">
        <f>SUM(AF17:AF31)</f>
        <v>0</v>
      </c>
      <c r="AG32" s="275">
        <f>SUM(AG17:AG31)</f>
        <v>0</v>
      </c>
      <c r="AH32" s="275">
        <f>SUM(AH17:AH31)</f>
        <v>0</v>
      </c>
      <c r="AI32" s="275">
        <f>SUM(AI17:AI31)</f>
        <v>0</v>
      </c>
      <c r="AK32" s="275">
        <f>SUM(AK17:AK31)</f>
        <v>0</v>
      </c>
      <c r="AL32" s="275">
        <f>SUM(AL17:AL31)</f>
        <v>0</v>
      </c>
      <c r="AM32" s="275">
        <f>SUM(AM17:AM31)</f>
        <v>0</v>
      </c>
      <c r="AN32" s="275">
        <f>SUM(AN17:AN31)</f>
        <v>0</v>
      </c>
      <c r="AO32" s="275">
        <f>SUM(AO17:AO31)</f>
        <v>0</v>
      </c>
    </row>
    <row r="33" spans="4:29" hidden="1" x14ac:dyDescent="0.3"/>
    <row r="34" spans="4:29" hidden="1" x14ac:dyDescent="0.3">
      <c r="D34" s="724" t="s">
        <v>468</v>
      </c>
      <c r="E34" s="724"/>
      <c r="F34" s="724"/>
      <c r="G34" s="724"/>
      <c r="H34" s="724"/>
      <c r="I34" s="724"/>
      <c r="J34" s="724"/>
      <c r="K34" s="724"/>
      <c r="L34" s="724"/>
      <c r="M34" s="724"/>
      <c r="N34" s="724"/>
      <c r="O34" s="724"/>
      <c r="P34" s="724"/>
      <c r="Q34" s="724"/>
      <c r="R34" s="724"/>
      <c r="S34" s="724"/>
      <c r="T34" s="724"/>
      <c r="U34" s="724"/>
      <c r="V34" s="724"/>
      <c r="W34" s="724"/>
      <c r="X34" s="724"/>
      <c r="Y34" s="724"/>
      <c r="Z34" s="724"/>
      <c r="AA34" s="724"/>
      <c r="AB34" s="724"/>
    </row>
    <row r="35" spans="4:29" hidden="1" x14ac:dyDescent="0.3"/>
    <row r="36" spans="4:29" hidden="1" x14ac:dyDescent="0.3">
      <c r="N36" s="725" t="s">
        <v>467</v>
      </c>
      <c r="O36" s="727" t="s">
        <v>469</v>
      </c>
      <c r="P36" s="728"/>
      <c r="Q36" s="729"/>
    </row>
    <row r="37" spans="4:29" hidden="1" x14ac:dyDescent="0.3">
      <c r="E37" s="730" t="s">
        <v>549</v>
      </c>
      <c r="F37" s="731"/>
      <c r="G37" s="731"/>
      <c r="H37" s="731"/>
      <c r="I37" s="731"/>
      <c r="J37" s="731"/>
      <c r="K37" s="731"/>
      <c r="L37" s="731"/>
      <c r="M37" s="732"/>
      <c r="N37" s="726"/>
      <c r="O37" s="411" t="s">
        <v>447</v>
      </c>
      <c r="P37" s="412"/>
      <c r="Q37" s="412" t="s">
        <v>446</v>
      </c>
    </row>
    <row r="38" spans="4:29" hidden="1" x14ac:dyDescent="0.3">
      <c r="E38" s="733" t="s">
        <v>466</v>
      </c>
      <c r="F38" s="734"/>
      <c r="G38" s="734"/>
      <c r="H38" s="734"/>
      <c r="I38" s="734"/>
      <c r="J38" s="734"/>
      <c r="K38" s="734"/>
      <c r="L38" s="734"/>
      <c r="M38" s="735"/>
      <c r="N38" s="285">
        <f>SUM(O38+Q38)</f>
        <v>0</v>
      </c>
      <c r="O38" s="413">
        <f>IF(ISNUMBER(SUM(L18:M32)),SUM(L18:M32),"")</f>
        <v>0</v>
      </c>
      <c r="P38" s="413"/>
      <c r="Q38" s="413">
        <f>IF(ISNUMBER(SUM(Y18:Z32)),SUM(Y18:Z32),"")</f>
        <v>0</v>
      </c>
    </row>
    <row r="39" spans="4:29" hidden="1" x14ac:dyDescent="0.3">
      <c r="E39" s="736" t="s">
        <v>465</v>
      </c>
      <c r="F39" s="737"/>
      <c r="G39" s="737"/>
      <c r="H39" s="737"/>
      <c r="I39" s="737"/>
      <c r="J39" s="737"/>
      <c r="K39" s="737"/>
      <c r="L39" s="737"/>
      <c r="M39" s="738"/>
      <c r="N39" s="286">
        <f>SUM(O39+Q39)</f>
        <v>0</v>
      </c>
      <c r="O39" s="277">
        <f>IF(ISNUMBER(O38),O38*0.2,"")</f>
        <v>0</v>
      </c>
      <c r="P39" s="277"/>
      <c r="Q39" s="277">
        <f>IF(ISNUMBER(Q38),Q38*0.2,"")</f>
        <v>0</v>
      </c>
    </row>
    <row r="40" spans="4:29" ht="17.25" hidden="1" thickBot="1" x14ac:dyDescent="0.35"/>
    <row r="41" spans="4:29" hidden="1" x14ac:dyDescent="0.3">
      <c r="D41" s="537" t="s">
        <v>534</v>
      </c>
      <c r="E41" s="538"/>
      <c r="F41" s="538"/>
      <c r="G41" s="538"/>
      <c r="H41" s="538"/>
      <c r="I41" s="538"/>
      <c r="J41" s="538"/>
      <c r="K41" s="538"/>
      <c r="L41" s="538"/>
      <c r="M41" s="538"/>
      <c r="N41" s="538"/>
      <c r="O41" s="538"/>
      <c r="P41" s="538"/>
      <c r="Q41" s="538"/>
      <c r="R41" s="538"/>
      <c r="S41" s="538"/>
      <c r="T41" s="538"/>
      <c r="U41" s="538"/>
      <c r="V41" s="538"/>
      <c r="W41" s="538"/>
      <c r="X41" s="538"/>
      <c r="Y41" s="538"/>
      <c r="Z41" s="538"/>
      <c r="AA41" s="538"/>
      <c r="AB41" s="538"/>
      <c r="AC41" s="538"/>
    </row>
    <row r="42" spans="4:29" hidden="1" x14ac:dyDescent="0.3">
      <c r="D42" s="540"/>
      <c r="E42" s="541"/>
      <c r="F42" s="541"/>
      <c r="G42" s="541"/>
      <c r="H42" s="541"/>
      <c r="I42" s="541"/>
      <c r="J42" s="541"/>
      <c r="K42" s="541"/>
      <c r="L42" s="541"/>
      <c r="M42" s="541"/>
      <c r="N42" s="541"/>
      <c r="O42" s="541"/>
      <c r="P42" s="541"/>
      <c r="Q42" s="541"/>
      <c r="R42" s="541"/>
      <c r="S42" s="541"/>
      <c r="T42" s="541"/>
      <c r="U42" s="541"/>
      <c r="V42" s="541"/>
      <c r="W42" s="541"/>
      <c r="X42" s="541"/>
      <c r="Y42" s="541"/>
      <c r="Z42" s="541"/>
      <c r="AA42" s="541"/>
      <c r="AB42" s="541"/>
      <c r="AC42" s="541"/>
    </row>
    <row r="43" spans="4:29" hidden="1" x14ac:dyDescent="0.3">
      <c r="D43" s="540"/>
      <c r="E43" s="541"/>
      <c r="F43" s="541"/>
      <c r="G43" s="541"/>
      <c r="H43" s="541"/>
      <c r="I43" s="541"/>
      <c r="J43" s="541"/>
      <c r="K43" s="541"/>
      <c r="L43" s="541"/>
      <c r="M43" s="541"/>
      <c r="N43" s="541"/>
      <c r="O43" s="541"/>
      <c r="P43" s="541"/>
      <c r="Q43" s="541"/>
      <c r="R43" s="541"/>
      <c r="S43" s="541"/>
      <c r="T43" s="541"/>
      <c r="U43" s="541"/>
      <c r="V43" s="541"/>
      <c r="W43" s="541"/>
      <c r="X43" s="541"/>
      <c r="Y43" s="541"/>
      <c r="Z43" s="541"/>
      <c r="AA43" s="541"/>
      <c r="AB43" s="541"/>
      <c r="AC43" s="541"/>
    </row>
    <row r="44" spans="4:29" hidden="1" x14ac:dyDescent="0.3">
      <c r="D44" s="540"/>
      <c r="E44" s="541"/>
      <c r="F44" s="541"/>
      <c r="G44" s="541"/>
      <c r="H44" s="541"/>
      <c r="I44" s="541"/>
      <c r="J44" s="541"/>
      <c r="K44" s="541"/>
      <c r="L44" s="541"/>
      <c r="M44" s="541"/>
      <c r="N44" s="541"/>
      <c r="O44" s="541"/>
      <c r="P44" s="541"/>
      <c r="Q44" s="541"/>
      <c r="R44" s="541"/>
      <c r="S44" s="541"/>
      <c r="T44" s="541"/>
      <c r="U44" s="541"/>
      <c r="V44" s="541"/>
      <c r="W44" s="541"/>
      <c r="X44" s="541"/>
      <c r="Y44" s="541"/>
      <c r="Z44" s="541"/>
      <c r="AA44" s="541"/>
      <c r="AB44" s="541"/>
      <c r="AC44" s="541"/>
    </row>
    <row r="45" spans="4:29" hidden="1" x14ac:dyDescent="0.3">
      <c r="D45" s="540"/>
      <c r="E45" s="541"/>
      <c r="F45" s="541"/>
      <c r="G45" s="541"/>
      <c r="H45" s="541"/>
      <c r="I45" s="541"/>
      <c r="J45" s="541"/>
      <c r="K45" s="541"/>
      <c r="L45" s="541"/>
      <c r="M45" s="541"/>
      <c r="N45" s="541"/>
      <c r="O45" s="541"/>
      <c r="P45" s="541"/>
      <c r="Q45" s="541"/>
      <c r="R45" s="541"/>
      <c r="S45" s="541"/>
      <c r="T45" s="541"/>
      <c r="U45" s="541"/>
      <c r="V45" s="541"/>
      <c r="W45" s="541"/>
      <c r="X45" s="541"/>
      <c r="Y45" s="541"/>
      <c r="Z45" s="541"/>
      <c r="AA45" s="541"/>
      <c r="AB45" s="541"/>
      <c r="AC45" s="541"/>
    </row>
    <row r="46" spans="4:29" ht="17.25" hidden="1" thickBot="1" x14ac:dyDescent="0.35">
      <c r="D46" s="543"/>
      <c r="E46" s="544"/>
      <c r="F46" s="544"/>
      <c r="G46" s="544"/>
      <c r="H46" s="544"/>
      <c r="I46" s="544"/>
      <c r="J46" s="544"/>
      <c r="K46" s="544"/>
      <c r="L46" s="544"/>
      <c r="M46" s="544"/>
      <c r="N46" s="544"/>
      <c r="O46" s="544"/>
      <c r="P46" s="544"/>
      <c r="Q46" s="544"/>
      <c r="R46" s="544"/>
      <c r="S46" s="544"/>
      <c r="T46" s="544"/>
      <c r="U46" s="544"/>
      <c r="V46" s="544"/>
      <c r="W46" s="544"/>
      <c r="X46" s="544"/>
      <c r="Y46" s="544"/>
      <c r="Z46" s="544"/>
      <c r="AA46" s="544"/>
      <c r="AB46" s="544"/>
      <c r="AC46" s="544"/>
    </row>
    <row r="47" spans="4:29" hidden="1" x14ac:dyDescent="0.3">
      <c r="I47" s="396" t="s">
        <v>562</v>
      </c>
      <c r="K47" s="396" t="s">
        <v>563</v>
      </c>
    </row>
    <row r="48" spans="4:29" hidden="1" x14ac:dyDescent="0.3">
      <c r="E48" s="716" t="s">
        <v>463</v>
      </c>
      <c r="F48" s="716"/>
      <c r="G48" s="716"/>
      <c r="H48" s="411"/>
      <c r="I48" s="718" t="s">
        <v>550</v>
      </c>
      <c r="J48" s="718"/>
      <c r="K48" s="677" t="s">
        <v>551</v>
      </c>
      <c r="L48" s="677"/>
    </row>
    <row r="49" spans="2:29" hidden="1" x14ac:dyDescent="0.3">
      <c r="E49" s="717"/>
      <c r="F49" s="717"/>
      <c r="G49" s="717"/>
      <c r="H49" s="429"/>
      <c r="I49" s="719"/>
      <c r="J49" s="719"/>
      <c r="K49" s="678"/>
      <c r="L49" s="678"/>
    </row>
    <row r="50" spans="2:29" hidden="1" x14ac:dyDescent="0.3">
      <c r="E50" s="720" t="str">
        <f>IF(ISNUMBER('2. Estimación absorción total'!AM2),'2. Estimación absorción total'!AM2,"")</f>
        <v/>
      </c>
      <c r="F50" s="720"/>
      <c r="G50" s="721"/>
      <c r="H50" s="430"/>
      <c r="I50" s="722" t="str">
        <f>AQ19</f>
        <v/>
      </c>
      <c r="J50" s="722"/>
      <c r="K50" s="723" t="str">
        <f>IF(ISNUMBER(I50),ROUND(I50*0.2,0),"")</f>
        <v/>
      </c>
      <c r="L50" s="723"/>
      <c r="M50" s="396" t="e">
        <f>K50/I50</f>
        <v>#VALUE!</v>
      </c>
    </row>
    <row r="51" spans="2:29" hidden="1" x14ac:dyDescent="0.3">
      <c r="E51" s="713" t="str">
        <f>IF(ISNUMBER('2. Estimación absorción total'!AM3),'2. Estimación absorción total'!AM3,"")</f>
        <v/>
      </c>
      <c r="F51" s="713"/>
      <c r="G51" s="713"/>
      <c r="H51" s="428"/>
      <c r="I51" s="714" t="str">
        <f>AR19</f>
        <v/>
      </c>
      <c r="J51" s="714"/>
      <c r="K51" s="715" t="str">
        <f>IF(ISNUMBER(I51),ROUND(I51*0.2,0),"")</f>
        <v/>
      </c>
      <c r="L51" s="715"/>
    </row>
    <row r="52" spans="2:29" hidden="1" x14ac:dyDescent="0.3">
      <c r="E52" s="710" t="str">
        <f>IF(ISNUMBER('2. Estimación absorción total'!AM4),'2. Estimación absorción total'!AM4,"")</f>
        <v/>
      </c>
      <c r="F52" s="710"/>
      <c r="G52" s="710"/>
      <c r="H52" s="427"/>
      <c r="I52" s="714" t="str">
        <f>AS19</f>
        <v/>
      </c>
      <c r="J52" s="714"/>
      <c r="K52" s="712" t="str">
        <f>IF(ISNUMBER(I52),ROUND(I52*0.2,0),"")</f>
        <v/>
      </c>
      <c r="L52" s="712"/>
    </row>
    <row r="53" spans="2:29" hidden="1" x14ac:dyDescent="0.3">
      <c r="E53" s="710" t="str">
        <f>IF(ISNUMBER('2. Estimación absorción total'!AM5),'2. Estimación absorción total'!AM5,"")</f>
        <v/>
      </c>
      <c r="F53" s="710"/>
      <c r="G53" s="710"/>
      <c r="H53" s="427"/>
      <c r="I53" s="714" t="str">
        <f>AT19</f>
        <v/>
      </c>
      <c r="J53" s="714"/>
      <c r="K53" s="712" t="str">
        <f>IF(ISNUMBER(I53),ROUND(I53*0.2,0),"")</f>
        <v/>
      </c>
      <c r="L53" s="712"/>
      <c r="M53" s="396" t="e">
        <f>K53/I53</f>
        <v>#VALUE!</v>
      </c>
    </row>
    <row r="54" spans="2:29" hidden="1" x14ac:dyDescent="0.3">
      <c r="E54" s="710" t="str">
        <f>IF(ISNUMBER('2. Estimación absorción total'!AM6),'2. Estimación absorción total'!AM6,"")</f>
        <v/>
      </c>
      <c r="F54" s="710"/>
      <c r="G54" s="710"/>
      <c r="H54" s="427"/>
      <c r="I54" s="711" t="str">
        <f>AU19</f>
        <v/>
      </c>
      <c r="J54" s="711"/>
      <c r="K54" s="712" t="str">
        <f>IF(ISNUMBER(I54),ROUND(I54*0.2,0),"")</f>
        <v/>
      </c>
      <c r="L54" s="712"/>
      <c r="M54" s="396" t="e">
        <f>K54/I54</f>
        <v>#VALUE!</v>
      </c>
    </row>
    <row r="55" spans="2:29" hidden="1" x14ac:dyDescent="0.3"/>
    <row r="56" spans="2:29" ht="17.25" hidden="1" thickBot="1" x14ac:dyDescent="0.35"/>
    <row r="58" spans="2:29" ht="18.75" customHeight="1" x14ac:dyDescent="0.3">
      <c r="B58" s="679" t="s">
        <v>589</v>
      </c>
      <c r="C58" s="679"/>
      <c r="D58" s="679"/>
      <c r="E58" s="679"/>
      <c r="F58" s="679"/>
      <c r="G58" s="679"/>
      <c r="H58" s="679"/>
      <c r="I58" s="679"/>
      <c r="J58" s="679"/>
      <c r="K58" s="679"/>
      <c r="L58" s="679"/>
      <c r="M58" s="679"/>
      <c r="N58" s="679"/>
      <c r="O58" s="679"/>
      <c r="P58" s="679"/>
      <c r="Q58" s="679"/>
      <c r="R58" s="679"/>
      <c r="S58" s="679"/>
      <c r="T58" s="679"/>
      <c r="U58" s="679"/>
      <c r="V58" s="679"/>
      <c r="W58" s="679"/>
      <c r="X58" s="679"/>
      <c r="Y58" s="679"/>
      <c r="Z58" s="679"/>
      <c r="AA58" s="679"/>
      <c r="AB58" s="679"/>
      <c r="AC58" s="679"/>
    </row>
    <row r="59" spans="2:29" ht="17.25" thickBot="1" x14ac:dyDescent="0.35"/>
    <row r="60" spans="2:29" ht="18.75" customHeight="1" x14ac:dyDescent="0.3">
      <c r="C60" s="755" t="s">
        <v>585</v>
      </c>
      <c r="D60" s="756"/>
      <c r="E60" s="756"/>
      <c r="F60" s="756"/>
      <c r="G60" s="756"/>
      <c r="H60" s="756"/>
      <c r="I60" s="756"/>
      <c r="J60" s="756"/>
      <c r="K60" s="756"/>
      <c r="L60" s="756"/>
      <c r="M60" s="756"/>
      <c r="N60" s="756"/>
      <c r="O60" s="756"/>
      <c r="P60" s="756"/>
      <c r="Q60" s="756"/>
      <c r="R60" s="756"/>
      <c r="S60" s="756"/>
      <c r="T60" s="756"/>
      <c r="U60" s="756"/>
      <c r="V60" s="756"/>
      <c r="W60" s="756"/>
      <c r="X60" s="756"/>
      <c r="Y60" s="756"/>
      <c r="Z60" s="756"/>
      <c r="AA60" s="756"/>
      <c r="AB60" s="756"/>
      <c r="AC60" s="757"/>
    </row>
    <row r="61" spans="2:29" ht="60.75" customHeight="1" x14ac:dyDescent="0.3">
      <c r="C61" s="758"/>
      <c r="D61" s="759"/>
      <c r="E61" s="759"/>
      <c r="F61" s="759"/>
      <c r="G61" s="759"/>
      <c r="H61" s="759"/>
      <c r="I61" s="759"/>
      <c r="J61" s="759"/>
      <c r="K61" s="759"/>
      <c r="L61" s="759"/>
      <c r="M61" s="759"/>
      <c r="N61" s="759"/>
      <c r="O61" s="759"/>
      <c r="P61" s="759"/>
      <c r="Q61" s="759"/>
      <c r="R61" s="759"/>
      <c r="S61" s="759"/>
      <c r="T61" s="759"/>
      <c r="U61" s="759"/>
      <c r="V61" s="759"/>
      <c r="W61" s="759"/>
      <c r="X61" s="759"/>
      <c r="Y61" s="759"/>
      <c r="Z61" s="759"/>
      <c r="AA61" s="759"/>
      <c r="AB61" s="759"/>
      <c r="AC61" s="760"/>
    </row>
    <row r="62" spans="2:29" ht="18.75" customHeight="1" x14ac:dyDescent="0.3">
      <c r="C62" s="761" t="s">
        <v>595</v>
      </c>
      <c r="D62" s="762"/>
      <c r="E62" s="762"/>
      <c r="F62" s="762"/>
      <c r="G62" s="762"/>
      <c r="H62" s="762"/>
      <c r="I62" s="762"/>
      <c r="J62" s="762"/>
      <c r="K62" s="762"/>
      <c r="L62" s="762"/>
      <c r="M62" s="762"/>
      <c r="N62" s="762"/>
      <c r="O62" s="762"/>
      <c r="P62" s="762"/>
      <c r="Q62" s="762"/>
      <c r="R62" s="762"/>
      <c r="S62" s="762"/>
      <c r="T62" s="762"/>
      <c r="U62" s="762"/>
      <c r="V62" s="762"/>
      <c r="W62" s="762"/>
      <c r="X62" s="762"/>
      <c r="Y62" s="762"/>
      <c r="Z62" s="762"/>
      <c r="AA62" s="762"/>
      <c r="AB62" s="762"/>
      <c r="AC62" s="763"/>
    </row>
    <row r="63" spans="2:29" ht="23.25" customHeight="1" thickBot="1" x14ac:dyDescent="0.35">
      <c r="C63" s="764" t="s">
        <v>582</v>
      </c>
      <c r="D63" s="765"/>
      <c r="E63" s="765"/>
      <c r="F63" s="765"/>
      <c r="G63" s="765"/>
      <c r="H63" s="765"/>
      <c r="I63" s="765"/>
      <c r="J63" s="765"/>
      <c r="K63" s="765"/>
      <c r="L63" s="765"/>
      <c r="M63" s="765"/>
      <c r="N63" s="765"/>
      <c r="O63" s="765"/>
      <c r="P63" s="765"/>
      <c r="Q63" s="765"/>
      <c r="R63" s="765"/>
      <c r="S63" s="765"/>
      <c r="T63" s="765"/>
      <c r="U63" s="765"/>
      <c r="V63" s="765"/>
      <c r="W63" s="765"/>
      <c r="X63" s="765"/>
      <c r="Y63" s="765"/>
      <c r="Z63" s="765"/>
      <c r="AA63" s="765"/>
      <c r="AB63" s="765"/>
      <c r="AC63" s="766"/>
    </row>
    <row r="65" spans="2:29" ht="21" customHeight="1" x14ac:dyDescent="0.3">
      <c r="E65" s="741" t="s">
        <v>568</v>
      </c>
      <c r="F65" s="741"/>
      <c r="G65" s="741"/>
      <c r="H65" s="741"/>
      <c r="I65" s="741"/>
      <c r="J65" s="741"/>
      <c r="K65" s="741"/>
      <c r="L65" s="741"/>
      <c r="M65" s="741"/>
      <c r="O65" s="438" t="str">
        <f>E50</f>
        <v/>
      </c>
    </row>
    <row r="66" spans="2:29" ht="4.5" customHeight="1" x14ac:dyDescent="0.3"/>
    <row r="67" spans="2:29" s="414" customFormat="1" ht="29.25" customHeight="1" x14ac:dyDescent="0.3">
      <c r="B67" s="397"/>
      <c r="C67" s="441" t="s">
        <v>552</v>
      </c>
      <c r="D67" s="398"/>
      <c r="E67" s="742" t="s">
        <v>584</v>
      </c>
      <c r="F67" s="743"/>
      <c r="G67" s="743"/>
      <c r="H67" s="743"/>
      <c r="I67" s="743"/>
      <c r="J67" s="743"/>
      <c r="K67" s="743"/>
      <c r="L67" s="743"/>
      <c r="M67" s="744"/>
      <c r="O67" s="433" t="str">
        <f>I50</f>
        <v/>
      </c>
      <c r="P67" s="396"/>
    </row>
    <row r="68" spans="2:29" ht="4.5" customHeight="1" x14ac:dyDescent="0.3">
      <c r="B68" s="399"/>
      <c r="C68" s="400"/>
      <c r="D68" s="400"/>
      <c r="E68" s="479"/>
      <c r="F68" s="479"/>
      <c r="G68" s="479"/>
      <c r="H68" s="479"/>
      <c r="I68" s="479"/>
      <c r="J68" s="479"/>
      <c r="K68" s="479"/>
      <c r="L68" s="479"/>
      <c r="M68" s="479"/>
      <c r="O68" s="422"/>
    </row>
    <row r="69" spans="2:29" s="414" customFormat="1" ht="29.25" customHeight="1" x14ac:dyDescent="0.3">
      <c r="B69" s="397"/>
      <c r="C69" s="441" t="s">
        <v>553</v>
      </c>
      <c r="D69" s="398"/>
      <c r="E69" s="745" t="s">
        <v>580</v>
      </c>
      <c r="F69" s="746"/>
      <c r="G69" s="747"/>
      <c r="H69" s="747"/>
      <c r="I69" s="747"/>
      <c r="J69" s="747"/>
      <c r="K69" s="747"/>
      <c r="L69" s="747"/>
      <c r="M69" s="748"/>
      <c r="O69" s="423" t="str">
        <f>K50</f>
        <v/>
      </c>
      <c r="P69" s="396"/>
    </row>
    <row r="70" spans="2:29" ht="4.5" customHeight="1" x14ac:dyDescent="0.3">
      <c r="B70" s="399"/>
      <c r="C70" s="400"/>
      <c r="D70" s="400"/>
      <c r="E70" s="479"/>
      <c r="F70" s="479"/>
      <c r="G70" s="480"/>
      <c r="H70" s="480"/>
      <c r="I70" s="480"/>
      <c r="J70" s="480"/>
      <c r="K70" s="480"/>
      <c r="L70" s="480"/>
      <c r="M70" s="480"/>
      <c r="O70" s="422"/>
    </row>
    <row r="71" spans="2:29" s="414" customFormat="1" ht="29.25" customHeight="1" x14ac:dyDescent="0.3">
      <c r="B71" s="397"/>
      <c r="C71" s="441" t="s">
        <v>554</v>
      </c>
      <c r="D71" s="398"/>
      <c r="E71" s="750" t="s">
        <v>581</v>
      </c>
      <c r="F71" s="751"/>
      <c r="G71" s="751"/>
      <c r="H71" s="751"/>
      <c r="I71" s="751"/>
      <c r="J71" s="751"/>
      <c r="K71" s="751"/>
      <c r="L71" s="751"/>
      <c r="M71" s="752"/>
      <c r="O71" s="423" t="str">
        <f>IF(ISNUMBER(O69),ROUND(0.1*O69/1.1,0),"")</f>
        <v/>
      </c>
      <c r="P71" s="396"/>
    </row>
    <row r="72" spans="2:29" ht="6.75" customHeight="1" x14ac:dyDescent="0.3">
      <c r="O72" s="422"/>
    </row>
    <row r="73" spans="2:29" s="414" customFormat="1" ht="20.25" x14ac:dyDescent="0.3">
      <c r="C73" s="753" t="s">
        <v>578</v>
      </c>
      <c r="D73" s="753"/>
      <c r="E73" s="753"/>
      <c r="F73" s="753"/>
      <c r="G73" s="753"/>
      <c r="H73" s="753"/>
      <c r="I73" s="753"/>
      <c r="J73" s="753"/>
      <c r="K73" s="753"/>
      <c r="L73" s="753"/>
      <c r="M73" s="754"/>
      <c r="O73" s="439" t="str">
        <f>IF(ISNUMBER(O69-O71),(O69-O71),"")</f>
        <v/>
      </c>
      <c r="P73" s="396"/>
    </row>
    <row r="74" spans="2:29" s="414" customFormat="1" x14ac:dyDescent="0.3">
      <c r="C74" s="396"/>
      <c r="D74" s="396"/>
      <c r="E74" s="396"/>
      <c r="F74" s="396"/>
      <c r="G74" s="396"/>
      <c r="H74" s="396"/>
      <c r="I74" s="396"/>
      <c r="J74" s="396"/>
      <c r="K74" s="396"/>
      <c r="L74" s="396"/>
      <c r="M74" s="396"/>
      <c r="N74" s="396"/>
      <c r="O74" s="396"/>
      <c r="P74" s="396"/>
    </row>
    <row r="75" spans="2:29" ht="24.75" customHeight="1" x14ac:dyDescent="0.3">
      <c r="Q75" s="287"/>
      <c r="R75" s="287"/>
      <c r="S75" s="287"/>
      <c r="T75" s="287"/>
      <c r="U75" s="287"/>
    </row>
    <row r="76" spans="2:29" ht="24.75" customHeight="1" x14ac:dyDescent="0.3">
      <c r="Q76" s="287"/>
      <c r="R76" s="287"/>
      <c r="S76" s="287"/>
      <c r="T76" s="287"/>
      <c r="U76" s="287"/>
    </row>
    <row r="77" spans="2:29" ht="36.75" customHeight="1" x14ac:dyDescent="0.3">
      <c r="B77" s="767" t="s">
        <v>608</v>
      </c>
      <c r="C77" s="767"/>
      <c r="D77" s="767"/>
      <c r="E77" s="767"/>
      <c r="F77" s="767"/>
      <c r="G77" s="767"/>
      <c r="H77" s="767"/>
      <c r="I77" s="767"/>
      <c r="J77" s="767"/>
      <c r="K77" s="767"/>
      <c r="L77" s="767"/>
      <c r="M77" s="767"/>
      <c r="N77" s="767"/>
      <c r="O77" s="767"/>
      <c r="P77" s="767"/>
      <c r="Q77" s="767"/>
      <c r="R77" s="767"/>
      <c r="S77" s="767"/>
      <c r="T77" s="767"/>
      <c r="U77" s="767"/>
      <c r="V77" s="767"/>
      <c r="W77" s="767"/>
      <c r="X77" s="767"/>
      <c r="Y77" s="767"/>
      <c r="Z77" s="767"/>
      <c r="AA77" s="767"/>
      <c r="AB77" s="767"/>
      <c r="AC77" s="767"/>
    </row>
    <row r="78" spans="2:29" ht="8.25" customHeight="1" x14ac:dyDescent="0.3"/>
    <row r="79" spans="2:29" ht="25.5" customHeight="1" x14ac:dyDescent="0.3">
      <c r="B79" s="484" t="s">
        <v>586</v>
      </c>
    </row>
    <row r="80" spans="2:29" x14ac:dyDescent="0.3">
      <c r="O80" s="505" t="str">
        <f>E51</f>
        <v/>
      </c>
      <c r="Q80" s="505" t="str">
        <f>E52</f>
        <v/>
      </c>
      <c r="R80" s="505"/>
      <c r="S80" s="505" t="str">
        <f>E53</f>
        <v/>
      </c>
      <c r="T80" s="505"/>
      <c r="U80" s="505" t="str">
        <f>E54</f>
        <v/>
      </c>
    </row>
    <row r="81" spans="3:28" ht="3.75" customHeight="1" x14ac:dyDescent="0.3"/>
    <row r="82" spans="3:28" s="414" customFormat="1" ht="27.75" customHeight="1" x14ac:dyDescent="0.25">
      <c r="C82" s="481" t="str">
        <f>C67</f>
        <v>A</v>
      </c>
      <c r="D82" s="482"/>
      <c r="E82" s="749" t="str">
        <f>E67</f>
        <v xml:space="preserve">Absorciones previstas al final del periodo de permanencia </v>
      </c>
      <c r="F82" s="749"/>
      <c r="G82" s="749"/>
      <c r="H82" s="749"/>
      <c r="I82" s="749"/>
      <c r="J82" s="749"/>
      <c r="K82" s="749"/>
      <c r="L82" s="749"/>
      <c r="M82" s="749"/>
      <c r="O82" s="425" t="str">
        <f>I51</f>
        <v/>
      </c>
      <c r="Q82" s="424" t="str">
        <f>I52</f>
        <v/>
      </c>
      <c r="R82" s="424"/>
      <c r="S82" s="425" t="str">
        <f>I53</f>
        <v/>
      </c>
      <c r="T82" s="425"/>
      <c r="U82" s="425" t="str">
        <f>I54</f>
        <v/>
      </c>
    </row>
    <row r="83" spans="3:28" ht="6" customHeight="1" x14ac:dyDescent="0.3">
      <c r="C83" s="489"/>
      <c r="D83" s="476"/>
      <c r="E83" s="478"/>
      <c r="F83" s="478"/>
      <c r="G83" s="478"/>
      <c r="H83" s="478"/>
      <c r="I83" s="478"/>
      <c r="J83" s="478"/>
      <c r="K83" s="478"/>
      <c r="L83" s="478"/>
      <c r="M83" s="478"/>
      <c r="O83" s="422"/>
      <c r="Q83" s="422"/>
      <c r="R83" s="422"/>
      <c r="S83" s="422"/>
      <c r="T83" s="422"/>
      <c r="U83" s="422"/>
    </row>
    <row r="84" spans="3:28" s="414" customFormat="1" ht="27.75" customHeight="1" x14ac:dyDescent="0.25">
      <c r="C84" s="481" t="str">
        <f>C69</f>
        <v>B</v>
      </c>
      <c r="D84" s="482"/>
      <c r="E84" s="749" t="str">
        <f>E69</f>
        <v xml:space="preserve">Absorciones registradas útiles = 20% * A </v>
      </c>
      <c r="F84" s="749"/>
      <c r="G84" s="749"/>
      <c r="H84" s="749"/>
      <c r="I84" s="749"/>
      <c r="J84" s="749"/>
      <c r="K84" s="749"/>
      <c r="L84" s="749"/>
      <c r="M84" s="749"/>
      <c r="O84" s="424" t="str">
        <f>K51</f>
        <v/>
      </c>
      <c r="Q84" s="424" t="str">
        <f>K52</f>
        <v/>
      </c>
      <c r="R84" s="424"/>
      <c r="S84" s="424" t="str">
        <f>K53</f>
        <v/>
      </c>
      <c r="T84" s="424"/>
      <c r="U84" s="424" t="str">
        <f>K54</f>
        <v/>
      </c>
    </row>
    <row r="85" spans="3:28" ht="6" customHeight="1" x14ac:dyDescent="0.3">
      <c r="C85" s="489"/>
      <c r="D85" s="476"/>
      <c r="E85" s="478"/>
      <c r="F85" s="478"/>
      <c r="G85" s="478"/>
      <c r="H85" s="478"/>
      <c r="I85" s="478"/>
      <c r="J85" s="478"/>
      <c r="K85" s="478"/>
      <c r="L85" s="478"/>
      <c r="M85" s="478"/>
      <c r="O85" s="422"/>
      <c r="Q85" s="422"/>
      <c r="R85" s="422"/>
      <c r="S85" s="422"/>
      <c r="T85" s="422"/>
      <c r="U85" s="422"/>
    </row>
    <row r="86" spans="3:28" s="414" customFormat="1" ht="27.75" customHeight="1" x14ac:dyDescent="0.25">
      <c r="C86" s="481" t="str">
        <f>C71</f>
        <v>C</v>
      </c>
      <c r="D86" s="482"/>
      <c r="E86" s="739" t="str">
        <f>E71</f>
        <v>Absorciones cedidas a la BOLSA DE GARANTÍA = cantidad equivalente al 10% de las absorciones disponibles</v>
      </c>
      <c r="F86" s="739"/>
      <c r="G86" s="739"/>
      <c r="H86" s="739"/>
      <c r="I86" s="739"/>
      <c r="J86" s="739"/>
      <c r="K86" s="739"/>
      <c r="L86" s="739" t="str">
        <f>IF(ISNUMBER(L84),ROUND(0.1*L84/1.1,0),"")</f>
        <v/>
      </c>
      <c r="M86" s="739" t="str">
        <f>IF(ISNUMBER(M84),ROUND(0.1*M84/1.1,0),"")</f>
        <v/>
      </c>
      <c r="O86" s="425" t="str">
        <f>IF(ISNUMBER(O84),ROUND(0.1*O84/1.1,0),"")</f>
        <v/>
      </c>
      <c r="Q86" s="425" t="str">
        <f>IF(ISNUMBER(Q84),ROUND(0.1*Q84/1.1,0),"")</f>
        <v/>
      </c>
      <c r="R86" s="425"/>
      <c r="S86" s="425" t="str">
        <f>IF(ISNUMBER(S84),ROUND(0.1*S84/1.1,0),"")</f>
        <v/>
      </c>
      <c r="T86" s="425"/>
      <c r="U86" s="425" t="str">
        <f>IF(ISNUMBER(U84),ROUND(0.1*U84/1.1,0),"")</f>
        <v/>
      </c>
    </row>
    <row r="87" spans="3:28" ht="5.25" customHeight="1" x14ac:dyDescent="0.3">
      <c r="C87" s="476"/>
      <c r="D87" s="476"/>
      <c r="E87" s="476"/>
      <c r="F87" s="476"/>
      <c r="G87" s="476"/>
      <c r="H87" s="476"/>
      <c r="I87" s="476"/>
      <c r="J87" s="476"/>
      <c r="K87" s="476"/>
      <c r="L87" s="476"/>
      <c r="M87" s="476"/>
      <c r="O87" s="422"/>
      <c r="Q87" s="422"/>
      <c r="R87" s="422"/>
      <c r="S87" s="422"/>
      <c r="T87" s="422"/>
      <c r="U87" s="422"/>
    </row>
    <row r="88" spans="3:28" ht="18" x14ac:dyDescent="0.35">
      <c r="C88" s="740" t="s">
        <v>612</v>
      </c>
      <c r="D88" s="740"/>
      <c r="E88" s="740"/>
      <c r="F88" s="740"/>
      <c r="G88" s="740"/>
      <c r="H88" s="740"/>
      <c r="I88" s="740"/>
      <c r="J88" s="740"/>
      <c r="K88" s="740"/>
      <c r="L88" s="740"/>
      <c r="M88" s="740"/>
      <c r="O88" s="440" t="str">
        <f>IF(ISNUMBER(O84-O86),(O84-O86),"")</f>
        <v/>
      </c>
      <c r="Q88" s="440" t="str">
        <f>IF(ISNUMBER(Q84-Q86),(Q84-Q86),"")</f>
        <v/>
      </c>
      <c r="R88" s="440"/>
      <c r="S88" s="440" t="str">
        <f>IF(ISNUMBER(S84-S86),(S84-S86),"")</f>
        <v/>
      </c>
      <c r="T88" s="440"/>
      <c r="U88" s="440" t="str">
        <f>IF(ISNUMBER(U84-U86),(U84-U86),"")</f>
        <v/>
      </c>
    </row>
    <row r="89" spans="3:28" x14ac:dyDescent="0.3">
      <c r="C89" s="477"/>
      <c r="D89" s="477"/>
      <c r="E89" s="477"/>
      <c r="F89" s="477"/>
      <c r="G89" s="477"/>
      <c r="H89" s="477"/>
      <c r="I89" s="477"/>
      <c r="J89" s="477"/>
      <c r="K89" s="477"/>
      <c r="L89" s="477"/>
      <c r="M89" s="477"/>
    </row>
    <row r="90" spans="3:28" x14ac:dyDescent="0.3">
      <c r="C90" s="483"/>
      <c r="D90" s="483"/>
      <c r="E90" s="483"/>
      <c r="F90" s="483"/>
      <c r="G90" s="483"/>
      <c r="H90" s="483"/>
      <c r="I90" s="483"/>
      <c r="J90" s="483"/>
      <c r="K90" s="483"/>
      <c r="L90" s="483"/>
      <c r="M90" s="483"/>
      <c r="N90" s="483"/>
      <c r="O90" s="483"/>
      <c r="P90" s="483"/>
      <c r="Q90" s="483"/>
      <c r="R90" s="483"/>
      <c r="S90" s="483"/>
      <c r="T90" s="483"/>
      <c r="U90" s="483"/>
      <c r="V90" s="483"/>
      <c r="W90" s="483"/>
      <c r="X90" s="483"/>
      <c r="Y90" s="483"/>
      <c r="Z90" s="483"/>
      <c r="AA90" s="483"/>
      <c r="AB90" s="483"/>
    </row>
    <row r="91" spans="3:28" x14ac:dyDescent="0.3">
      <c r="C91" s="483"/>
      <c r="D91" s="483"/>
      <c r="E91" s="483"/>
      <c r="F91" s="483"/>
      <c r="G91" s="483"/>
      <c r="H91" s="483"/>
      <c r="I91" s="483"/>
      <c r="J91" s="483"/>
      <c r="K91" s="483"/>
      <c r="L91" s="483"/>
      <c r="M91" s="483"/>
      <c r="N91" s="483"/>
      <c r="O91" s="483"/>
      <c r="P91" s="483"/>
      <c r="Q91" s="483"/>
      <c r="R91" s="483"/>
      <c r="S91" s="483"/>
      <c r="T91" s="483"/>
      <c r="U91" s="483"/>
      <c r="V91" s="483"/>
      <c r="W91" s="483"/>
      <c r="X91" s="483"/>
      <c r="Y91" s="483"/>
      <c r="Z91" s="483"/>
      <c r="AA91" s="483"/>
      <c r="AB91" s="483"/>
    </row>
  </sheetData>
  <sheetProtection password="EBEE" sheet="1" objects="1" scenarios="1"/>
  <mergeCells count="153">
    <mergeCell ref="E86:M86"/>
    <mergeCell ref="C88:M88"/>
    <mergeCell ref="E65:M65"/>
    <mergeCell ref="B58:AC58"/>
    <mergeCell ref="E67:M67"/>
    <mergeCell ref="E69:M69"/>
    <mergeCell ref="E82:M82"/>
    <mergeCell ref="E84:M84"/>
    <mergeCell ref="E71:M71"/>
    <mergeCell ref="C73:M73"/>
    <mergeCell ref="C60:AC61"/>
    <mergeCell ref="C62:AC62"/>
    <mergeCell ref="C63:AC63"/>
    <mergeCell ref="B77:AC77"/>
    <mergeCell ref="AA24:AB24"/>
    <mergeCell ref="Y24:Z24"/>
    <mergeCell ref="AA19:AB19"/>
    <mergeCell ref="Y19:Z19"/>
    <mergeCell ref="U19:V19"/>
    <mergeCell ref="AA22:AB22"/>
    <mergeCell ref="Y22:Z22"/>
    <mergeCell ref="U22:V22"/>
    <mergeCell ref="AA21:AB21"/>
    <mergeCell ref="Y21:Z21"/>
    <mergeCell ref="U21:V21"/>
    <mergeCell ref="U24:V24"/>
    <mergeCell ref="AA23:AB23"/>
    <mergeCell ref="Y23:Z23"/>
    <mergeCell ref="U23:V23"/>
    <mergeCell ref="AA26:AB26"/>
    <mergeCell ref="Y26:Z26"/>
    <mergeCell ref="U26:V26"/>
    <mergeCell ref="AA25:AB25"/>
    <mergeCell ref="Y25:Z25"/>
    <mergeCell ref="U25:V25"/>
    <mergeCell ref="AA28:AB28"/>
    <mergeCell ref="Y28:Z28"/>
    <mergeCell ref="U28:V28"/>
    <mergeCell ref="AA27:AB27"/>
    <mergeCell ref="Y27:Z27"/>
    <mergeCell ref="U27:V27"/>
    <mergeCell ref="U31:V31"/>
    <mergeCell ref="AA30:AB30"/>
    <mergeCell ref="Y30:Z30"/>
    <mergeCell ref="U30:V30"/>
    <mergeCell ref="AA29:AB29"/>
    <mergeCell ref="Y29:Z29"/>
    <mergeCell ref="U29:V29"/>
    <mergeCell ref="E53:G53"/>
    <mergeCell ref="I53:J53"/>
    <mergeCell ref="K53:L53"/>
    <mergeCell ref="D41:AC46"/>
    <mergeCell ref="E48:G49"/>
    <mergeCell ref="I48:J49"/>
    <mergeCell ref="K48:L49"/>
    <mergeCell ref="E50:G50"/>
    <mergeCell ref="I50:J50"/>
    <mergeCell ref="K50:L50"/>
    <mergeCell ref="D34:AB34"/>
    <mergeCell ref="N36:N37"/>
    <mergeCell ref="O36:Q36"/>
    <mergeCell ref="E37:M37"/>
    <mergeCell ref="E38:M38"/>
    <mergeCell ref="E39:M39"/>
    <mergeCell ref="D32:I32"/>
    <mergeCell ref="E54:G54"/>
    <mergeCell ref="I54:J54"/>
    <mergeCell ref="K54:L54"/>
    <mergeCell ref="E51:G51"/>
    <mergeCell ref="I51:J51"/>
    <mergeCell ref="K51:L51"/>
    <mergeCell ref="E52:G52"/>
    <mergeCell ref="I52:J52"/>
    <mergeCell ref="K52:L52"/>
    <mergeCell ref="L32:M32"/>
    <mergeCell ref="Q32:R32"/>
    <mergeCell ref="D31:I31"/>
    <mergeCell ref="L31:M31"/>
    <mergeCell ref="Q31:R31"/>
    <mergeCell ref="D30:I30"/>
    <mergeCell ref="L30:M30"/>
    <mergeCell ref="Q30:R30"/>
    <mergeCell ref="D29:I29"/>
    <mergeCell ref="L29:M29"/>
    <mergeCell ref="Q29:R29"/>
    <mergeCell ref="D28:I28"/>
    <mergeCell ref="L28:M28"/>
    <mergeCell ref="Q28:R28"/>
    <mergeCell ref="D27:I27"/>
    <mergeCell ref="L27:M27"/>
    <mergeCell ref="Q27:R27"/>
    <mergeCell ref="D26:I26"/>
    <mergeCell ref="L26:M26"/>
    <mergeCell ref="Q26:R26"/>
    <mergeCell ref="D19:I19"/>
    <mergeCell ref="L19:M19"/>
    <mergeCell ref="Q19:R19"/>
    <mergeCell ref="D18:I18"/>
    <mergeCell ref="L18:M18"/>
    <mergeCell ref="D25:I25"/>
    <mergeCell ref="L25:M25"/>
    <mergeCell ref="Q25:R25"/>
    <mergeCell ref="D24:I24"/>
    <mergeCell ref="L24:M24"/>
    <mergeCell ref="Q24:R24"/>
    <mergeCell ref="D23:I23"/>
    <mergeCell ref="L23:M23"/>
    <mergeCell ref="Q23:R23"/>
    <mergeCell ref="Q22:R22"/>
    <mergeCell ref="D21:I21"/>
    <mergeCell ref="L21:M21"/>
    <mergeCell ref="Q21:R21"/>
    <mergeCell ref="D20:I20"/>
    <mergeCell ref="L20:M20"/>
    <mergeCell ref="Q20:R20"/>
    <mergeCell ref="AA20:AB20"/>
    <mergeCell ref="Y20:Z20"/>
    <mergeCell ref="U20:V20"/>
    <mergeCell ref="AA32:AB32"/>
    <mergeCell ref="Y32:Z32"/>
    <mergeCell ref="U32:V32"/>
    <mergeCell ref="AA31:AB31"/>
    <mergeCell ref="Y31:Z31"/>
    <mergeCell ref="G8:J8"/>
    <mergeCell ref="B10:AC10"/>
    <mergeCell ref="B12:S12"/>
    <mergeCell ref="U12:AC12"/>
    <mergeCell ref="T8:AB8"/>
    <mergeCell ref="K8:Q8"/>
    <mergeCell ref="AC16:AC17"/>
    <mergeCell ref="L17:M17"/>
    <mergeCell ref="Y17:Z17"/>
    <mergeCell ref="AA17:AB17"/>
    <mergeCell ref="D16:I17"/>
    <mergeCell ref="J16:J17"/>
    <mergeCell ref="X16:X17"/>
    <mergeCell ref="Y16:AB16"/>
    <mergeCell ref="AA18:AB18"/>
    <mergeCell ref="Y18:Z18"/>
    <mergeCell ref="U18:V18"/>
    <mergeCell ref="D22:I22"/>
    <mergeCell ref="L22:M22"/>
    <mergeCell ref="K16:K17"/>
    <mergeCell ref="L16:M16"/>
    <mergeCell ref="Q18:R18"/>
    <mergeCell ref="W16:W17"/>
    <mergeCell ref="A1:AD2"/>
    <mergeCell ref="B4:AC4"/>
    <mergeCell ref="G6:J6"/>
    <mergeCell ref="T6:AB6"/>
    <mergeCell ref="K6:Q6"/>
    <mergeCell ref="O16:R17"/>
    <mergeCell ref="U16:V17"/>
  </mergeCells>
  <conditionalFormatting sqref="E51:J54">
    <cfRule type="expression" dxfId="13" priority="48" stopIfTrue="1">
      <formula>ISNUMBER(E51)</formula>
    </cfRule>
  </conditionalFormatting>
  <conditionalFormatting sqref="K51:L54">
    <cfRule type="expression" dxfId="12" priority="49" stopIfTrue="1">
      <formula>ISNUMBER(E51)</formula>
    </cfRule>
  </conditionalFormatting>
  <conditionalFormatting sqref="E79">
    <cfRule type="expression" priority="27" stopIfTrue="1">
      <formula>ISNUMBER($O$80)</formula>
    </cfRule>
  </conditionalFormatting>
  <conditionalFormatting sqref="B79">
    <cfRule type="expression" dxfId="11" priority="22" stopIfTrue="1">
      <formula>ISNUMBER($O$80)</formula>
    </cfRule>
  </conditionalFormatting>
  <conditionalFormatting sqref="B77:AC77">
    <cfRule type="expression" dxfId="10" priority="11" stopIfTrue="1">
      <formula>ISNUMBER($O$80)</formula>
    </cfRule>
  </conditionalFormatting>
  <conditionalFormatting sqref="O80 Q80:U80">
    <cfRule type="expression" dxfId="9" priority="10" stopIfTrue="1">
      <formula>ISNUMBER(O80)</formula>
    </cfRule>
  </conditionalFormatting>
  <conditionalFormatting sqref="O82 Q82:U82">
    <cfRule type="expression" dxfId="8" priority="9" stopIfTrue="1">
      <formula>ISNUMBER(O80)</formula>
    </cfRule>
  </conditionalFormatting>
  <conditionalFormatting sqref="O84 Q84:U84">
    <cfRule type="expression" dxfId="7" priority="8" stopIfTrue="1">
      <formula>ISNUMBER(O80)</formula>
    </cfRule>
  </conditionalFormatting>
  <conditionalFormatting sqref="Q86:U86 O86">
    <cfRule type="expression" dxfId="6" priority="7" stopIfTrue="1">
      <formula>ISNUMBER(O80)</formula>
    </cfRule>
  </conditionalFormatting>
  <conditionalFormatting sqref="O88 Q88:U88">
    <cfRule type="expression" dxfId="5" priority="6" stopIfTrue="1">
      <formula>ISNUMBER(O80)</formula>
    </cfRule>
  </conditionalFormatting>
  <conditionalFormatting sqref="E84:M84">
    <cfRule type="expression" dxfId="4" priority="5" stopIfTrue="1">
      <formula>ISNUMBER($O$80)</formula>
    </cfRule>
  </conditionalFormatting>
  <conditionalFormatting sqref="E86:M86">
    <cfRule type="expression" dxfId="3" priority="4" stopIfTrue="1">
      <formula>ISNUMBER($O$80)</formula>
    </cfRule>
  </conditionalFormatting>
  <conditionalFormatting sqref="C88:M88 C84 C86">
    <cfRule type="expression" dxfId="2" priority="3" stopIfTrue="1">
      <formula>ISNUMBER($O$80)</formula>
    </cfRule>
  </conditionalFormatting>
  <conditionalFormatting sqref="C82">
    <cfRule type="expression" dxfId="1" priority="2" stopIfTrue="1">
      <formula>ISNUMBER($O$80)</formula>
    </cfRule>
  </conditionalFormatting>
  <conditionalFormatting sqref="E82:M82">
    <cfRule type="expression" dxfId="0" priority="1" stopIfTrue="1">
      <formula>ISNUMBER($O$80)</formula>
    </cfRule>
  </conditionalFormatting>
  <dataValidations disablePrompts="1" count="1">
    <dataValidation type="whole" operator="greaterThanOrEqual" allowBlank="1" showInputMessage="1" showErrorMessage="1" error="La superficie mínima de plantación ha de ser de 1 ha" sqref="U9 U7 K7:L7 K9:L9">
      <formula1>1</formula1>
    </dataValidation>
  </dataValidations>
  <pageMargins left="0.70866141732283472" right="0.70866141732283472" top="0.74803149606299213" bottom="0.74803149606299213" header="0.31496062992125984" footer="0.31496062992125984"/>
  <pageSetup paperSize="9" scale="74" orientation="landscape" horizontalDpi="300" verticalDpi="3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4"/>
  <sheetViews>
    <sheetView showGridLines="0" showRowColHeaders="0" zoomScaleNormal="100" workbookViewId="0">
      <selection sqref="A1:R2"/>
    </sheetView>
  </sheetViews>
  <sheetFormatPr baseColWidth="10" defaultRowHeight="15.75" customHeight="1" x14ac:dyDescent="0.3"/>
  <cols>
    <col min="1" max="1" width="4" style="228" customWidth="1"/>
    <col min="2" max="2" width="2.5703125" style="228" customWidth="1"/>
    <col min="3" max="3" width="32" style="228" customWidth="1"/>
    <col min="4" max="8" width="6.28515625" style="228" customWidth="1"/>
    <col min="9" max="9" width="32.42578125" style="228" bestFit="1" customWidth="1"/>
    <col min="10" max="10" width="107.7109375" style="228" hidden="1" customWidth="1"/>
    <col min="11" max="11" width="10.7109375" style="228" customWidth="1"/>
    <col min="12" max="14" width="11.42578125" style="228"/>
    <col min="15" max="15" width="9.5703125" style="228" customWidth="1"/>
    <col min="16" max="16" width="11.42578125" style="228"/>
    <col min="17" max="17" width="9.5703125" style="228" customWidth="1"/>
    <col min="18" max="18" width="1.85546875" style="228" customWidth="1"/>
    <col min="19" max="19" width="11.42578125" style="228"/>
    <col min="20" max="26" width="0" style="228" hidden="1" customWidth="1"/>
    <col min="27" max="16384" width="11.42578125" style="228"/>
  </cols>
  <sheetData>
    <row r="1" spans="1:27" s="213" customFormat="1" ht="17.25" customHeight="1" x14ac:dyDescent="0.3">
      <c r="A1" s="557" t="s">
        <v>557</v>
      </c>
      <c r="B1" s="558"/>
      <c r="C1" s="558"/>
      <c r="D1" s="558"/>
      <c r="E1" s="558"/>
      <c r="F1" s="558"/>
      <c r="G1" s="558"/>
      <c r="H1" s="558"/>
      <c r="I1" s="558"/>
      <c r="J1" s="558"/>
      <c r="K1" s="558"/>
      <c r="L1" s="558"/>
      <c r="M1" s="558"/>
      <c r="N1" s="558"/>
      <c r="O1" s="558"/>
      <c r="P1" s="558"/>
      <c r="Q1" s="558"/>
      <c r="R1" s="558"/>
    </row>
    <row r="2" spans="1:27" s="213" customFormat="1" ht="15.75" customHeight="1" x14ac:dyDescent="0.3">
      <c r="A2" s="558"/>
      <c r="B2" s="558"/>
      <c r="C2" s="558"/>
      <c r="D2" s="558"/>
      <c r="E2" s="558"/>
      <c r="F2" s="558"/>
      <c r="G2" s="558"/>
      <c r="H2" s="558"/>
      <c r="I2" s="558"/>
      <c r="J2" s="558"/>
      <c r="K2" s="558"/>
      <c r="L2" s="558"/>
      <c r="M2" s="558"/>
      <c r="N2" s="558"/>
      <c r="O2" s="558"/>
      <c r="P2" s="558"/>
      <c r="Q2" s="558"/>
      <c r="R2" s="558"/>
    </row>
    <row r="4" spans="1:27" ht="31.5" customHeight="1" x14ac:dyDescent="0.3">
      <c r="B4" s="777" t="s">
        <v>93</v>
      </c>
      <c r="C4" s="778"/>
      <c r="D4" s="799" t="s">
        <v>613</v>
      </c>
      <c r="E4" s="774"/>
      <c r="F4" s="774"/>
      <c r="G4" s="774"/>
      <c r="H4" s="775"/>
      <c r="I4" s="776" t="s">
        <v>75</v>
      </c>
      <c r="J4" s="776" t="s">
        <v>75</v>
      </c>
      <c r="T4" s="495"/>
      <c r="U4" s="495"/>
    </row>
    <row r="5" spans="1:27" ht="15.75" customHeight="1" x14ac:dyDescent="0.35">
      <c r="B5" s="777"/>
      <c r="C5" s="777"/>
      <c r="D5" s="389" t="s">
        <v>341</v>
      </c>
      <c r="E5" s="390" t="s">
        <v>342</v>
      </c>
      <c r="F5" s="390" t="s">
        <v>343</v>
      </c>
      <c r="G5" s="390" t="s">
        <v>344</v>
      </c>
      <c r="H5" s="391" t="s">
        <v>345</v>
      </c>
      <c r="I5" s="776"/>
      <c r="J5" s="776"/>
      <c r="T5" s="495" t="s">
        <v>93</v>
      </c>
      <c r="U5" s="495"/>
      <c r="V5" s="495" t="s">
        <v>606</v>
      </c>
      <c r="W5" s="495"/>
      <c r="X5" s="495"/>
      <c r="Y5" s="495"/>
      <c r="Z5" s="495"/>
      <c r="AA5" s="495"/>
    </row>
    <row r="6" spans="1:27" ht="15.75" customHeight="1" x14ac:dyDescent="0.3">
      <c r="B6" s="768" t="s">
        <v>3</v>
      </c>
      <c r="C6" s="769"/>
      <c r="D6" s="386">
        <f t="shared" ref="D6:D37" si="0">ROUND(V7,2)</f>
        <v>0.06</v>
      </c>
      <c r="E6" s="386">
        <f t="shared" ref="E6:E37" si="1">ROUND(W7,2)</f>
        <v>0.08</v>
      </c>
      <c r="F6" s="386">
        <f t="shared" ref="F6:F37" si="2">ROUND(X7,2)</f>
        <v>0.1</v>
      </c>
      <c r="G6" s="386">
        <f t="shared" ref="G6:G37" si="3">ROUND(Y7,2)</f>
        <v>0.11</v>
      </c>
      <c r="H6" s="386">
        <f t="shared" ref="H6:H37" si="4">ROUND(Z7,2)</f>
        <v>0.13</v>
      </c>
      <c r="I6" s="236" t="str">
        <f>IF(J6=$C$89,"Tabla 201 del IFN3 y Anexo 2 (Coníferas) IFN1 (1)",IF(J6=$C$90,"Tabla 201 del IFN3 y Anexo 2 (frondosas) IFN1 (2)",IF(J6=$C$91,"Tablas producción Madrigal (3)","")))</f>
        <v>Tabla 201 del IFN3 y Anexo 2 (Coníferas) IFN1 (1)</v>
      </c>
      <c r="J6" s="230" t="s">
        <v>348</v>
      </c>
      <c r="T6" s="495"/>
      <c r="U6" s="495"/>
      <c r="V6" s="495" t="s">
        <v>341</v>
      </c>
      <c r="W6" s="495" t="s">
        <v>342</v>
      </c>
      <c r="X6" s="495" t="s">
        <v>343</v>
      </c>
      <c r="Y6" s="495" t="s">
        <v>344</v>
      </c>
      <c r="Z6" s="495" t="s">
        <v>345</v>
      </c>
      <c r="AA6" s="495"/>
    </row>
    <row r="7" spans="1:27" ht="15.75" customHeight="1" x14ac:dyDescent="0.3">
      <c r="B7" s="770" t="s">
        <v>182</v>
      </c>
      <c r="C7" s="771"/>
      <c r="D7" s="386">
        <f t="shared" si="0"/>
        <v>0.22</v>
      </c>
      <c r="E7" s="386">
        <f t="shared" si="1"/>
        <v>0.27</v>
      </c>
      <c r="F7" s="386">
        <f t="shared" si="2"/>
        <v>0.33</v>
      </c>
      <c r="G7" s="386">
        <f t="shared" si="3"/>
        <v>0.38</v>
      </c>
      <c r="H7" s="386">
        <f t="shared" si="4"/>
        <v>0.44</v>
      </c>
      <c r="I7" s="236" t="str">
        <f>IF(J7=$C$89,"Tabla 201 del IFN3 y Anexo 2 (Coníferas) IFN1 (1)",IF(J7=$C$90,"Tabla 201 del IFN3 y Anexo 2 (frondosas) IFN1 (2)",IF(J7=$C$91,"Tablas producción Madrigal (3)","")))</f>
        <v>Tabla 201 del IFN3 y Anexo 2 (Coníferas) IFN1 (1)</v>
      </c>
      <c r="J7" s="230" t="s">
        <v>346</v>
      </c>
      <c r="T7" s="495" t="s">
        <v>3</v>
      </c>
      <c r="U7" s="495"/>
      <c r="V7" s="495">
        <v>6.3544816116135994E-2</v>
      </c>
      <c r="W7" s="495">
        <v>7.943102014517002E-2</v>
      </c>
      <c r="X7" s="495">
        <v>9.5317224174204004E-2</v>
      </c>
      <c r="Y7" s="495">
        <v>0.111203428203238</v>
      </c>
      <c r="Z7" s="495">
        <v>0.12708963223227199</v>
      </c>
      <c r="AA7" s="495"/>
    </row>
    <row r="8" spans="1:27" ht="15.75" customHeight="1" x14ac:dyDescent="0.3">
      <c r="B8" s="770" t="s">
        <v>156</v>
      </c>
      <c r="C8" s="771"/>
      <c r="D8" s="386">
        <f t="shared" si="0"/>
        <v>0.15</v>
      </c>
      <c r="E8" s="386">
        <f t="shared" si="1"/>
        <v>0.19</v>
      </c>
      <c r="F8" s="386">
        <f t="shared" si="2"/>
        <v>0.22</v>
      </c>
      <c r="G8" s="386">
        <f t="shared" si="3"/>
        <v>0.26</v>
      </c>
      <c r="H8" s="386">
        <f t="shared" si="4"/>
        <v>0.3</v>
      </c>
      <c r="I8" s="236" t="str">
        <f>IF(J8=$C$89,"Tabla 201 del IFN3 y Anexo 2 (Coníferas) IFN1 (1)",IF(J8=$C$90,"Tabla 201 del IFN3 y Anexo 2 (frondosas) IFN1 (2)",IF(J8=$C$91,"Tablas producción Madrigal (3)","")))</f>
        <v>Tabla 201 del IFN3 y Anexo 2 (frondosas) IFN1 (2)</v>
      </c>
      <c r="J8" s="230" t="s">
        <v>347</v>
      </c>
      <c r="T8" s="495" t="s">
        <v>182</v>
      </c>
      <c r="U8" s="495"/>
      <c r="V8" s="495">
        <v>0.21939097084791426</v>
      </c>
      <c r="W8" s="495">
        <v>0.27423871355989282</v>
      </c>
      <c r="X8" s="495">
        <v>0.32908645627187133</v>
      </c>
      <c r="Y8" s="495">
        <v>0.38393419898384989</v>
      </c>
      <c r="Z8" s="495">
        <v>0.43878194169582851</v>
      </c>
      <c r="AA8" s="495"/>
    </row>
    <row r="9" spans="1:27" ht="15.75" customHeight="1" x14ac:dyDescent="0.3">
      <c r="B9" s="768" t="s">
        <v>6</v>
      </c>
      <c r="C9" s="769"/>
      <c r="D9" s="386">
        <f t="shared" si="0"/>
        <v>0.06</v>
      </c>
      <c r="E9" s="386">
        <f t="shared" si="1"/>
        <v>0.08</v>
      </c>
      <c r="F9" s="386">
        <f t="shared" si="2"/>
        <v>0.1</v>
      </c>
      <c r="G9" s="386">
        <f t="shared" si="3"/>
        <v>0.11</v>
      </c>
      <c r="H9" s="386">
        <f t="shared" si="4"/>
        <v>0.13</v>
      </c>
      <c r="I9" s="236" t="str">
        <f>IF(J9=$C$89,"Tabla 201 del IFN3 y Anexo 2 (Coníferas) IFN1 (1)",IF(J9=$C$90,"Tabla 201 del IFN3 y Anexo 2 (frondosas) IFN1 (2)",IF(J9=$C$91,"Tablas producción Madrigal (3)","")))</f>
        <v>Tabla 201 del IFN3 y Anexo 2 (frondosas) IFN1 (2)</v>
      </c>
      <c r="J9" s="230" t="s">
        <v>347</v>
      </c>
      <c r="T9" s="495" t="s">
        <v>156</v>
      </c>
      <c r="U9" s="495"/>
      <c r="V9" s="495">
        <v>0.14975536130234138</v>
      </c>
      <c r="W9" s="495">
        <v>0.18719420162792669</v>
      </c>
      <c r="X9" s="495">
        <v>0.22463304195351205</v>
      </c>
      <c r="Y9" s="495">
        <v>0.26207188227909739</v>
      </c>
      <c r="Z9" s="495">
        <v>0.29951072260468276</v>
      </c>
      <c r="AA9" s="495"/>
    </row>
    <row r="10" spans="1:27" ht="15.75" customHeight="1" x14ac:dyDescent="0.3">
      <c r="B10" s="770" t="s">
        <v>7</v>
      </c>
      <c r="C10" s="771"/>
      <c r="D10" s="386">
        <f t="shared" si="0"/>
        <v>0.04</v>
      </c>
      <c r="E10" s="386">
        <f t="shared" si="1"/>
        <v>0.11</v>
      </c>
      <c r="F10" s="386">
        <f t="shared" si="2"/>
        <v>0.21</v>
      </c>
      <c r="G10" s="386">
        <f t="shared" si="3"/>
        <v>0.35</v>
      </c>
      <c r="H10" s="386">
        <f t="shared" si="4"/>
        <v>0.4</v>
      </c>
      <c r="I10" s="236" t="s">
        <v>358</v>
      </c>
      <c r="J10" s="230"/>
      <c r="T10" s="495" t="s">
        <v>6</v>
      </c>
      <c r="U10" s="495"/>
      <c r="V10" s="495">
        <v>6.4771159639729098E-2</v>
      </c>
      <c r="W10" s="495">
        <v>8.0963949549661379E-2</v>
      </c>
      <c r="X10" s="495">
        <v>9.7156739459593647E-2</v>
      </c>
      <c r="Y10" s="495">
        <v>0.11334952936952593</v>
      </c>
      <c r="Z10" s="495">
        <v>0.1295423192794582</v>
      </c>
      <c r="AA10" s="495"/>
    </row>
    <row r="11" spans="1:27" ht="15.75" customHeight="1" x14ac:dyDescent="0.3">
      <c r="B11" s="770" t="s">
        <v>8</v>
      </c>
      <c r="C11" s="771"/>
      <c r="D11" s="386">
        <f t="shared" si="0"/>
        <v>0.06</v>
      </c>
      <c r="E11" s="386">
        <f t="shared" si="1"/>
        <v>7.0000000000000007E-2</v>
      </c>
      <c r="F11" s="386">
        <f t="shared" si="2"/>
        <v>0.09</v>
      </c>
      <c r="G11" s="386">
        <f t="shared" si="3"/>
        <v>0.1</v>
      </c>
      <c r="H11" s="386">
        <f t="shared" si="4"/>
        <v>0.12</v>
      </c>
      <c r="I11" s="236" t="str">
        <f>IF(J11=$C$89,"Tabla 201 del IFN3 y Anexo 2 (Coníferas) IFN1 (1)",IF(J11=$C$90,"Tabla 201 del IFN3 y Anexo 2 (frondosas) IFN1 (2)",IF(J11=$C$91,"Tablas producción Madrigal (3)","")))</f>
        <v>Tabla 201 del IFN3 y Anexo 2 (frondosas) IFN1 (2)</v>
      </c>
      <c r="J11" s="230" t="s">
        <v>347</v>
      </c>
      <c r="T11" s="495" t="s">
        <v>7</v>
      </c>
      <c r="U11" s="495"/>
      <c r="V11" s="495">
        <v>4.2905184381875593E-2</v>
      </c>
      <c r="W11" s="495">
        <v>0.11203292161465764</v>
      </c>
      <c r="X11" s="495">
        <v>0.20516585167863827</v>
      </c>
      <c r="Y11" s="495">
        <v>0.34790001540782683</v>
      </c>
      <c r="Z11" s="495">
        <v>0.39760001760894487</v>
      </c>
      <c r="AA11" s="495"/>
    </row>
    <row r="12" spans="1:27" ht="15.75" customHeight="1" x14ac:dyDescent="0.3">
      <c r="B12" s="768" t="s">
        <v>2</v>
      </c>
      <c r="C12" s="769"/>
      <c r="D12" s="386">
        <f t="shared" si="0"/>
        <v>0.06</v>
      </c>
      <c r="E12" s="386">
        <f t="shared" si="1"/>
        <v>0.08</v>
      </c>
      <c r="F12" s="386">
        <f t="shared" si="2"/>
        <v>0.09</v>
      </c>
      <c r="G12" s="386">
        <f t="shared" si="3"/>
        <v>0.11</v>
      </c>
      <c r="H12" s="386">
        <f t="shared" si="4"/>
        <v>0.12</v>
      </c>
      <c r="I12" s="236" t="str">
        <f>IF(J12=$C$89,"Tabla 201 del IFN3 y Anexo 2 (Coníferas) IFN1 (1)",IF(J12=$C$90,"Tabla 201 del IFN3 y Anexo 2 (frondosas) IFN1 (2)",IF(J12=$C$91,"Tablas producción Madrigal (3)","")))</f>
        <v>Tabla 201 del IFN3 y Anexo 2 (frondosas) IFN1 (2)</v>
      </c>
      <c r="J12" s="230" t="s">
        <v>347</v>
      </c>
      <c r="T12" s="495" t="s">
        <v>8</v>
      </c>
      <c r="U12" s="495"/>
      <c r="V12" s="495">
        <v>5.9604517312365456E-2</v>
      </c>
      <c r="W12" s="495">
        <v>7.4505646640456821E-2</v>
      </c>
      <c r="X12" s="495">
        <v>8.9406775968548208E-2</v>
      </c>
      <c r="Y12" s="495">
        <v>0.10430790529663955</v>
      </c>
      <c r="Z12" s="495">
        <v>0.11920903462473091</v>
      </c>
      <c r="AA12" s="495"/>
    </row>
    <row r="13" spans="1:27" ht="15.75" customHeight="1" x14ac:dyDescent="0.3">
      <c r="B13" s="770" t="s">
        <v>9</v>
      </c>
      <c r="C13" s="771"/>
      <c r="D13" s="386">
        <f t="shared" si="0"/>
        <v>0.06</v>
      </c>
      <c r="E13" s="386">
        <f t="shared" si="1"/>
        <v>0.08</v>
      </c>
      <c r="F13" s="386">
        <f t="shared" si="2"/>
        <v>0.09</v>
      </c>
      <c r="G13" s="386">
        <f t="shared" si="3"/>
        <v>0.11</v>
      </c>
      <c r="H13" s="386">
        <f t="shared" si="4"/>
        <v>0.12</v>
      </c>
      <c r="I13" s="236" t="s">
        <v>358</v>
      </c>
      <c r="J13" s="230"/>
      <c r="T13" s="495" t="s">
        <v>2</v>
      </c>
      <c r="U13" s="495"/>
      <c r="V13" s="495">
        <v>6.2278228970051946E-2</v>
      </c>
      <c r="W13" s="495">
        <v>7.784778621256494E-2</v>
      </c>
      <c r="X13" s="495">
        <v>9.3417343455077906E-2</v>
      </c>
      <c r="Y13" s="495">
        <v>0.1089869006975909</v>
      </c>
      <c r="Z13" s="495">
        <v>0.12455645794010389</v>
      </c>
      <c r="AA13" s="495"/>
    </row>
    <row r="14" spans="1:27" ht="15.75" customHeight="1" x14ac:dyDescent="0.3">
      <c r="B14" s="768" t="s">
        <v>10</v>
      </c>
      <c r="C14" s="769"/>
      <c r="D14" s="386">
        <f t="shared" si="0"/>
        <v>0.12</v>
      </c>
      <c r="E14" s="386">
        <f t="shared" si="1"/>
        <v>0.16</v>
      </c>
      <c r="F14" s="386">
        <f t="shared" si="2"/>
        <v>0.19</v>
      </c>
      <c r="G14" s="386">
        <f t="shared" si="3"/>
        <v>0.22</v>
      </c>
      <c r="H14" s="386">
        <f t="shared" si="4"/>
        <v>0.25</v>
      </c>
      <c r="I14" s="236" t="str">
        <f>IF(J14=$C$89,"Tabla 201 del IFN3 y Anexo 2 (Coníferas) IFN1 (1)",IF(J14=$C$90,"Tabla 201 del IFN3 y Anexo 2 (frondosas) IFN1 (2)",IF(J14=$C$91,"Tablas producción Madrigal (3)","")))</f>
        <v>Tabla 201 del IFN3 y Anexo 2 (frondosas) IFN1 (2)</v>
      </c>
      <c r="J14" s="230" t="s">
        <v>347</v>
      </c>
      <c r="T14" s="495" t="s">
        <v>9</v>
      </c>
      <c r="U14" s="495"/>
      <c r="V14" s="495">
        <v>6.2278228970051946E-2</v>
      </c>
      <c r="W14" s="495">
        <v>7.784778621256494E-2</v>
      </c>
      <c r="X14" s="495">
        <v>9.3417343455077906E-2</v>
      </c>
      <c r="Y14" s="495">
        <v>0.1089869006975909</v>
      </c>
      <c r="Z14" s="495">
        <v>0.12455645794010389</v>
      </c>
      <c r="AA14" s="495"/>
    </row>
    <row r="15" spans="1:27" ht="15.75" customHeight="1" x14ac:dyDescent="0.3">
      <c r="B15" s="770" t="s">
        <v>172</v>
      </c>
      <c r="C15" s="771"/>
      <c r="D15" s="386">
        <f t="shared" si="0"/>
        <v>0.06</v>
      </c>
      <c r="E15" s="386">
        <f t="shared" si="1"/>
        <v>0.08</v>
      </c>
      <c r="F15" s="386">
        <f t="shared" si="2"/>
        <v>0.09</v>
      </c>
      <c r="G15" s="386">
        <f t="shared" si="3"/>
        <v>0.11</v>
      </c>
      <c r="H15" s="386">
        <f t="shared" si="4"/>
        <v>0.12</v>
      </c>
      <c r="I15" s="236" t="str">
        <f>IF(J15=$C$89,"Tabla 201 del IFN3 y Anexo 2 (Coníferas) IFN1 (1)",IF(J15=$C$90,"Tabla 201 del IFN3 y Anexo 2 (frondosas) IFN1 (2)",IF(J15=$C$91,"Tablas producción Madrigal (3)","")))</f>
        <v>Tabla 201 del IFN3 y Anexo 2 (frondosas) IFN1 (2)</v>
      </c>
      <c r="J15" s="230" t="s">
        <v>347</v>
      </c>
      <c r="T15" s="495" t="s">
        <v>10</v>
      </c>
      <c r="U15" s="495"/>
      <c r="V15" s="495">
        <v>0.1241181539518298</v>
      </c>
      <c r="W15" s="495">
        <v>0.15514769243978724</v>
      </c>
      <c r="X15" s="495">
        <v>0.18617723092774471</v>
      </c>
      <c r="Y15" s="495">
        <v>0.21720676941570213</v>
      </c>
      <c r="Z15" s="495">
        <v>0.24823630790365961</v>
      </c>
      <c r="AA15" s="495"/>
    </row>
    <row r="16" spans="1:27" ht="15.75" customHeight="1" x14ac:dyDescent="0.3">
      <c r="B16" s="770" t="s">
        <v>11</v>
      </c>
      <c r="C16" s="771"/>
      <c r="D16" s="386">
        <f t="shared" si="0"/>
        <v>0.35</v>
      </c>
      <c r="E16" s="386">
        <f t="shared" si="1"/>
        <v>0.63</v>
      </c>
      <c r="F16" s="386">
        <f t="shared" si="2"/>
        <v>1.3</v>
      </c>
      <c r="G16" s="386">
        <f t="shared" si="3"/>
        <v>2.88</v>
      </c>
      <c r="H16" s="386">
        <f t="shared" si="4"/>
        <v>3.4</v>
      </c>
      <c r="I16" s="236" t="s">
        <v>358</v>
      </c>
      <c r="J16" s="230"/>
      <c r="T16" s="495" t="s">
        <v>172</v>
      </c>
      <c r="U16" s="495"/>
      <c r="V16" s="495">
        <v>6.1960458449175387E-2</v>
      </c>
      <c r="W16" s="495">
        <v>7.7450573061469213E-2</v>
      </c>
      <c r="X16" s="495">
        <v>9.2940687673763067E-2</v>
      </c>
      <c r="Y16" s="495">
        <v>0.10843080228605692</v>
      </c>
      <c r="Z16" s="495">
        <v>0.12392091689835077</v>
      </c>
      <c r="AA16" s="495"/>
    </row>
    <row r="17" spans="2:27" ht="15.75" customHeight="1" x14ac:dyDescent="0.3">
      <c r="B17" s="770" t="s">
        <v>12</v>
      </c>
      <c r="C17" s="771"/>
      <c r="D17" s="386">
        <f t="shared" si="0"/>
        <v>0.28999999999999998</v>
      </c>
      <c r="E17" s="386">
        <f t="shared" si="1"/>
        <v>0.72</v>
      </c>
      <c r="F17" s="386">
        <f t="shared" si="2"/>
        <v>1.01</v>
      </c>
      <c r="G17" s="386">
        <f t="shared" si="3"/>
        <v>1.44</v>
      </c>
      <c r="H17" s="386">
        <f t="shared" si="4"/>
        <v>1.9</v>
      </c>
      <c r="I17" s="236" t="s">
        <v>358</v>
      </c>
      <c r="J17" s="230"/>
      <c r="T17" s="495" t="s">
        <v>11</v>
      </c>
      <c r="U17" s="495"/>
      <c r="V17" s="495">
        <v>0.34624258854033912</v>
      </c>
      <c r="W17" s="495">
        <v>0.63416449134559993</v>
      </c>
      <c r="X17" s="495">
        <v>1.2964681323565146</v>
      </c>
      <c r="Y17" s="495">
        <v>2.8776869027198626</v>
      </c>
      <c r="Z17" s="495">
        <v>3.4048640619376549</v>
      </c>
      <c r="AA17" s="495"/>
    </row>
    <row r="18" spans="2:27" ht="15.75" customHeight="1" x14ac:dyDescent="0.3">
      <c r="B18" s="770" t="s">
        <v>13</v>
      </c>
      <c r="C18" s="771"/>
      <c r="D18" s="386">
        <f t="shared" si="0"/>
        <v>0.01</v>
      </c>
      <c r="E18" s="386">
        <f t="shared" si="1"/>
        <v>0.01</v>
      </c>
      <c r="F18" s="386">
        <f t="shared" si="2"/>
        <v>0.01</v>
      </c>
      <c r="G18" s="386">
        <f t="shared" si="3"/>
        <v>0.01</v>
      </c>
      <c r="H18" s="386">
        <f t="shared" si="4"/>
        <v>0.01</v>
      </c>
      <c r="I18" s="236" t="str">
        <f>IF(J18=$C$89,"Tabla 201 del IFN3 y Anexo 2 (Coníferas) IFN1 (1)",IF(J18=$C$90,"Tabla 201 del IFN3 y Anexo 2 (frondosas) IFN1 (2)",IF(J18=$C$91,"Tablas producción Madrigal (3)","")))</f>
        <v>Tabla 201 del IFN3 y Anexo 2 (frondosas) IFN1 (2)</v>
      </c>
      <c r="J18" s="230" t="s">
        <v>347</v>
      </c>
      <c r="T18" s="495" t="s">
        <v>12</v>
      </c>
      <c r="U18" s="495"/>
      <c r="V18" s="495">
        <v>0.28554224648832599</v>
      </c>
      <c r="W18" s="495">
        <v>0.72002933854517226</v>
      </c>
      <c r="X18" s="495">
        <v>1.0064449533150317</v>
      </c>
      <c r="Y18" s="495">
        <v>1.44499968749023</v>
      </c>
      <c r="Z18" s="495">
        <v>1.8956012546262551</v>
      </c>
      <c r="AA18" s="495"/>
    </row>
    <row r="19" spans="2:27" ht="15.75" customHeight="1" x14ac:dyDescent="0.3">
      <c r="B19" s="770" t="s">
        <v>14</v>
      </c>
      <c r="C19" s="771"/>
      <c r="D19" s="386">
        <f t="shared" si="0"/>
        <v>0.04</v>
      </c>
      <c r="E19" s="386">
        <f t="shared" si="1"/>
        <v>0.11</v>
      </c>
      <c r="F19" s="386">
        <f t="shared" si="2"/>
        <v>0.21</v>
      </c>
      <c r="G19" s="386">
        <f t="shared" si="3"/>
        <v>0.35</v>
      </c>
      <c r="H19" s="386">
        <f t="shared" si="4"/>
        <v>0.4</v>
      </c>
      <c r="I19" s="236" t="s">
        <v>358</v>
      </c>
      <c r="J19" s="230"/>
      <c r="T19" s="495" t="s">
        <v>13</v>
      </c>
      <c r="U19" s="495"/>
      <c r="V19" s="495">
        <v>7.2902029632532592E-3</v>
      </c>
      <c r="W19" s="495">
        <v>9.1127537040665719E-3</v>
      </c>
      <c r="X19" s="495">
        <v>1.0935304444879886E-2</v>
      </c>
      <c r="Y19" s="495">
        <v>1.2757855185693201E-2</v>
      </c>
      <c r="Z19" s="495">
        <v>1.4580405926506518E-2</v>
      </c>
      <c r="AA19" s="495"/>
    </row>
    <row r="20" spans="2:27" ht="15.75" customHeight="1" x14ac:dyDescent="0.3">
      <c r="B20" s="770" t="s">
        <v>15</v>
      </c>
      <c r="C20" s="771"/>
      <c r="D20" s="386">
        <f t="shared" si="0"/>
        <v>0.08</v>
      </c>
      <c r="E20" s="386">
        <f t="shared" si="1"/>
        <v>0.1</v>
      </c>
      <c r="F20" s="386">
        <f t="shared" si="2"/>
        <v>0.12</v>
      </c>
      <c r="G20" s="386">
        <f t="shared" si="3"/>
        <v>0.14000000000000001</v>
      </c>
      <c r="H20" s="386">
        <f t="shared" si="4"/>
        <v>0.16</v>
      </c>
      <c r="I20" s="236" t="str">
        <f>IF(J20=$C$89,"Tabla 201 del IFN3 y Anexo 2 (Coníferas) IFN1 (1)",IF(J20=$C$90,"Tabla 201 del IFN3 y Anexo 2 (frondosas) IFN1 (2)",IF(J20=$C$91,"Tablas producción Madrigal (3)","")))</f>
        <v>Tabla 201 del IFN3 y Anexo 2 (frondosas) IFN1 (2)</v>
      </c>
      <c r="J20" s="230" t="s">
        <v>347</v>
      </c>
      <c r="T20" s="495" t="s">
        <v>14</v>
      </c>
      <c r="U20" s="495"/>
      <c r="V20" s="495">
        <v>4.2905184381875593E-2</v>
      </c>
      <c r="W20" s="495">
        <v>0.11203292161465764</v>
      </c>
      <c r="X20" s="495">
        <v>0.20516585167863827</v>
      </c>
      <c r="Y20" s="495">
        <v>0.34790001540782683</v>
      </c>
      <c r="Z20" s="495">
        <v>0.39760001760894487</v>
      </c>
      <c r="AA20" s="495"/>
    </row>
    <row r="21" spans="2:27" ht="15.75" customHeight="1" x14ac:dyDescent="0.3">
      <c r="B21" s="770" t="s">
        <v>17</v>
      </c>
      <c r="C21" s="771"/>
      <c r="D21" s="386">
        <f t="shared" si="0"/>
        <v>0.04</v>
      </c>
      <c r="E21" s="386">
        <f t="shared" si="1"/>
        <v>0.11</v>
      </c>
      <c r="F21" s="386">
        <f t="shared" si="2"/>
        <v>0.21</v>
      </c>
      <c r="G21" s="386">
        <f t="shared" si="3"/>
        <v>0.35</v>
      </c>
      <c r="H21" s="386">
        <f t="shared" si="4"/>
        <v>0.4</v>
      </c>
      <c r="I21" s="236" t="str">
        <f>IF(J21=$C$89,"Tabla 201 del IFN3 y Anexo 2 (Coníferas) IFN1 (1)",IF(J21=$C$90,"Tabla 201 del IFN3 y Anexo 2 (frondosas) IFN1 (2)",IF(J21=$C$91,"Tablas producción Madrigal (3)","")))</f>
        <v>Tabla 201 del IFN3 y Anexo 2 (frondosas) IFN1 (2)</v>
      </c>
      <c r="J21" s="230" t="s">
        <v>347</v>
      </c>
      <c r="T21" s="495" t="s">
        <v>15</v>
      </c>
      <c r="U21" s="495"/>
      <c r="V21" s="495">
        <v>7.8352200436330038E-2</v>
      </c>
      <c r="W21" s="495">
        <v>9.7940250545412541E-2</v>
      </c>
      <c r="X21" s="495">
        <v>0.11752830065449504</v>
      </c>
      <c r="Y21" s="495">
        <v>0.13711635076357756</v>
      </c>
      <c r="Z21" s="495">
        <v>0.15670440087266008</v>
      </c>
      <c r="AA21" s="495"/>
    </row>
    <row r="22" spans="2:27" ht="15.75" customHeight="1" x14ac:dyDescent="0.3">
      <c r="B22" s="770" t="s">
        <v>18</v>
      </c>
      <c r="C22" s="771"/>
      <c r="D22" s="386">
        <f t="shared" si="0"/>
        <v>0.03</v>
      </c>
      <c r="E22" s="386">
        <f t="shared" si="1"/>
        <v>0.05</v>
      </c>
      <c r="F22" s="386">
        <f t="shared" si="2"/>
        <v>0.06</v>
      </c>
      <c r="G22" s="386">
        <f t="shared" si="3"/>
        <v>0.12</v>
      </c>
      <c r="H22" s="386">
        <f t="shared" si="4"/>
        <v>0.15</v>
      </c>
      <c r="I22" s="236" t="s">
        <v>358</v>
      </c>
      <c r="J22" s="230"/>
      <c r="T22" s="495" t="s">
        <v>17</v>
      </c>
      <c r="U22" s="495"/>
      <c r="V22" s="495">
        <v>4.2905184381875593E-2</v>
      </c>
      <c r="W22" s="495">
        <v>0.11203292161465764</v>
      </c>
      <c r="X22" s="495">
        <v>0.20516585167863827</v>
      </c>
      <c r="Y22" s="495">
        <v>0.34790001540782683</v>
      </c>
      <c r="Z22" s="495">
        <v>0.39760001760894487</v>
      </c>
      <c r="AA22" s="495"/>
    </row>
    <row r="23" spans="2:27" ht="15.75" customHeight="1" x14ac:dyDescent="0.3">
      <c r="B23" s="770" t="s">
        <v>19</v>
      </c>
      <c r="C23" s="771"/>
      <c r="D23" s="386">
        <f t="shared" si="0"/>
        <v>0.03</v>
      </c>
      <c r="E23" s="386">
        <f t="shared" si="1"/>
        <v>0.05</v>
      </c>
      <c r="F23" s="386">
        <f t="shared" si="2"/>
        <v>0.06</v>
      </c>
      <c r="G23" s="386">
        <f t="shared" si="3"/>
        <v>0.12</v>
      </c>
      <c r="H23" s="386">
        <f t="shared" si="4"/>
        <v>0.15</v>
      </c>
      <c r="I23" s="236" t="s">
        <v>358</v>
      </c>
      <c r="J23" s="230"/>
      <c r="T23" s="495" t="s">
        <v>18</v>
      </c>
      <c r="U23" s="495"/>
      <c r="V23" s="495">
        <v>3.1829804580021943E-2</v>
      </c>
      <c r="W23" s="495">
        <v>4.8315700463393098E-2</v>
      </c>
      <c r="X23" s="495">
        <v>5.797884055607172E-2</v>
      </c>
      <c r="Y23" s="495">
        <v>0.11616913219309503</v>
      </c>
      <c r="Z23" s="495">
        <v>0.14741916710201577</v>
      </c>
      <c r="AA23" s="495"/>
    </row>
    <row r="24" spans="2:27" ht="15.75" customHeight="1" x14ac:dyDescent="0.3">
      <c r="B24" s="770" t="s">
        <v>20</v>
      </c>
      <c r="C24" s="771"/>
      <c r="D24" s="386">
        <f t="shared" si="0"/>
        <v>0.03</v>
      </c>
      <c r="E24" s="386">
        <f t="shared" si="1"/>
        <v>0.05</v>
      </c>
      <c r="F24" s="386">
        <f t="shared" si="2"/>
        <v>0.06</v>
      </c>
      <c r="G24" s="386">
        <f t="shared" si="3"/>
        <v>0.12</v>
      </c>
      <c r="H24" s="386">
        <f t="shared" si="4"/>
        <v>0.15</v>
      </c>
      <c r="I24" s="236" t="s">
        <v>358</v>
      </c>
      <c r="J24" s="230"/>
      <c r="T24" s="495" t="s">
        <v>19</v>
      </c>
      <c r="U24" s="495"/>
      <c r="V24" s="495">
        <v>3.1829804580021943E-2</v>
      </c>
      <c r="W24" s="495">
        <v>4.8315700463393098E-2</v>
      </c>
      <c r="X24" s="495">
        <v>5.797884055607172E-2</v>
      </c>
      <c r="Y24" s="495">
        <v>0.11616913219309503</v>
      </c>
      <c r="Z24" s="495">
        <v>0.14741916710201577</v>
      </c>
      <c r="AA24" s="495"/>
    </row>
    <row r="25" spans="2:27" ht="15.75" customHeight="1" x14ac:dyDescent="0.3">
      <c r="B25" s="770" t="s">
        <v>597</v>
      </c>
      <c r="C25" s="771"/>
      <c r="D25" s="386">
        <f t="shared" si="0"/>
        <v>0.04</v>
      </c>
      <c r="E25" s="386">
        <f t="shared" si="1"/>
        <v>0.11</v>
      </c>
      <c r="F25" s="386">
        <f t="shared" si="2"/>
        <v>0.21</v>
      </c>
      <c r="G25" s="386">
        <f t="shared" si="3"/>
        <v>0.35</v>
      </c>
      <c r="H25" s="386">
        <f t="shared" si="4"/>
        <v>0.4</v>
      </c>
      <c r="I25" s="236" t="str">
        <f t="shared" ref="I25:I31" si="5">IF(J25=$C$89,"Tabla 201 del IFN3 y Anexo 2 (Coníferas) IFN1 (1)",IF(J25=$C$90,"Tabla 201 del IFN3 y Anexo 2 (frondosas) IFN1 (2)",IF(J25=$C$91,"Tablas producción Madrigal (3)","")))</f>
        <v>Tabla 201 del IFN3 y Anexo 2 (frondosas) IFN1 (2)</v>
      </c>
      <c r="J25" s="230" t="s">
        <v>347</v>
      </c>
      <c r="T25" s="495" t="s">
        <v>20</v>
      </c>
      <c r="U25" s="495"/>
      <c r="V25" s="495">
        <v>3.1829804580021943E-2</v>
      </c>
      <c r="W25" s="495">
        <v>4.8315700463393098E-2</v>
      </c>
      <c r="X25" s="495">
        <v>5.797884055607172E-2</v>
      </c>
      <c r="Y25" s="495">
        <v>0.11616913219309503</v>
      </c>
      <c r="Z25" s="495">
        <v>0.14741916710201577</v>
      </c>
      <c r="AA25" s="495"/>
    </row>
    <row r="26" spans="2:27" ht="15.75" customHeight="1" x14ac:dyDescent="0.3">
      <c r="B26" s="768" t="s">
        <v>22</v>
      </c>
      <c r="C26" s="769"/>
      <c r="D26" s="386">
        <f t="shared" si="0"/>
        <v>0.4</v>
      </c>
      <c r="E26" s="386">
        <f t="shared" si="1"/>
        <v>1</v>
      </c>
      <c r="F26" s="386">
        <f t="shared" si="2"/>
        <v>1.57</v>
      </c>
      <c r="G26" s="386">
        <f t="shared" si="3"/>
        <v>2.23</v>
      </c>
      <c r="H26" s="386">
        <f t="shared" si="4"/>
        <v>3.53</v>
      </c>
      <c r="I26" s="236" t="str">
        <f t="shared" si="5"/>
        <v>Tabla 201 del IFN3 y Anexo 2 (frondosas) IFN1 (2)</v>
      </c>
      <c r="J26" s="230" t="s">
        <v>347</v>
      </c>
      <c r="T26" s="495" t="s">
        <v>597</v>
      </c>
      <c r="U26" s="495"/>
      <c r="V26" s="495">
        <v>4.2905184381875593E-2</v>
      </c>
      <c r="W26" s="495">
        <v>0.11203292161465764</v>
      </c>
      <c r="X26" s="495">
        <v>0.20516585167863827</v>
      </c>
      <c r="Y26" s="495">
        <v>0.34790001540782683</v>
      </c>
      <c r="Z26" s="495">
        <v>0.39760001760894487</v>
      </c>
      <c r="AA26" s="495"/>
    </row>
    <row r="27" spans="2:27" ht="15.75" customHeight="1" x14ac:dyDescent="0.3">
      <c r="B27" s="768" t="s">
        <v>23</v>
      </c>
      <c r="C27" s="769"/>
      <c r="D27" s="386">
        <f t="shared" si="0"/>
        <v>0.56999999999999995</v>
      </c>
      <c r="E27" s="386">
        <f t="shared" si="1"/>
        <v>1.39</v>
      </c>
      <c r="F27" s="386">
        <f t="shared" si="2"/>
        <v>2.04</v>
      </c>
      <c r="G27" s="386">
        <f t="shared" si="3"/>
        <v>3</v>
      </c>
      <c r="H27" s="386">
        <f t="shared" si="4"/>
        <v>4.87</v>
      </c>
      <c r="I27" s="236" t="str">
        <f t="shared" si="5"/>
        <v>Tabla 201 del IFN3 y Anexo 2 (frondosas) IFN1 (2)</v>
      </c>
      <c r="J27" s="230" t="s">
        <v>347</v>
      </c>
      <c r="T27" s="495" t="s">
        <v>22</v>
      </c>
      <c r="U27" s="495"/>
      <c r="V27" s="495">
        <v>0.40481930196049593</v>
      </c>
      <c r="W27" s="495">
        <v>0.99657840558360089</v>
      </c>
      <c r="X27" s="495">
        <v>1.5658280222622489</v>
      </c>
      <c r="Y27" s="495">
        <v>2.2347041313747185</v>
      </c>
      <c r="Z27" s="495">
        <v>3.5316719948964348</v>
      </c>
      <c r="AA27" s="495"/>
    </row>
    <row r="28" spans="2:27" ht="15.75" customHeight="1" x14ac:dyDescent="0.3">
      <c r="B28" s="768" t="s">
        <v>24</v>
      </c>
      <c r="C28" s="769"/>
      <c r="D28" s="386">
        <f t="shared" si="0"/>
        <v>0</v>
      </c>
      <c r="E28" s="386">
        <f t="shared" si="1"/>
        <v>0.02</v>
      </c>
      <c r="F28" s="386">
        <f t="shared" si="2"/>
        <v>0.03</v>
      </c>
      <c r="G28" s="386">
        <f t="shared" si="3"/>
        <v>7.0000000000000007E-2</v>
      </c>
      <c r="H28" s="386">
        <f t="shared" si="4"/>
        <v>0.23</v>
      </c>
      <c r="I28" s="236" t="str">
        <f t="shared" si="5"/>
        <v>Tablas producción Madrigal (3)</v>
      </c>
      <c r="J28" s="230" t="s">
        <v>349</v>
      </c>
      <c r="T28" s="495" t="s">
        <v>23</v>
      </c>
      <c r="U28" s="495"/>
      <c r="V28" s="495">
        <v>0.56958214626885495</v>
      </c>
      <c r="W28" s="495">
        <v>1.3908497572587581</v>
      </c>
      <c r="X28" s="495">
        <v>2.0361298403169146</v>
      </c>
      <c r="Y28" s="495">
        <v>2.9973328241580197</v>
      </c>
      <c r="Z28" s="495">
        <v>4.8736009360390691</v>
      </c>
      <c r="AA28" s="495"/>
    </row>
    <row r="29" spans="2:27" ht="15.75" customHeight="1" x14ac:dyDescent="0.3">
      <c r="B29" s="768" t="s">
        <v>1</v>
      </c>
      <c r="C29" s="769"/>
      <c r="D29" s="386">
        <f t="shared" si="0"/>
        <v>0.09</v>
      </c>
      <c r="E29" s="386">
        <f t="shared" si="1"/>
        <v>0.11</v>
      </c>
      <c r="F29" s="386">
        <f t="shared" si="2"/>
        <v>0.18</v>
      </c>
      <c r="G29" s="386">
        <f t="shared" si="3"/>
        <v>0.28999999999999998</v>
      </c>
      <c r="H29" s="386">
        <f t="shared" si="4"/>
        <v>0.33</v>
      </c>
      <c r="I29" s="236" t="str">
        <f t="shared" si="5"/>
        <v>Tabla 201 del IFN3 y Anexo 2 (frondosas) IFN1 (2)</v>
      </c>
      <c r="J29" s="230" t="s">
        <v>347</v>
      </c>
      <c r="T29" s="495" t="s">
        <v>24</v>
      </c>
      <c r="U29" s="495"/>
      <c r="V29" s="495">
        <v>3.769774343225004E-3</v>
      </c>
      <c r="W29" s="495">
        <v>2.2674170139378728E-2</v>
      </c>
      <c r="X29" s="495">
        <v>2.720900416725448E-2</v>
      </c>
      <c r="Y29" s="495">
        <v>6.9703150798753E-2</v>
      </c>
      <c r="Z29" s="495">
        <v>0.22629552729785765</v>
      </c>
      <c r="AA29" s="495"/>
    </row>
    <row r="30" spans="2:27" ht="15.75" customHeight="1" x14ac:dyDescent="0.3">
      <c r="B30" s="770" t="s">
        <v>25</v>
      </c>
      <c r="C30" s="771"/>
      <c r="D30" s="386">
        <f t="shared" si="0"/>
        <v>0.03</v>
      </c>
      <c r="E30" s="386">
        <f t="shared" si="1"/>
        <v>0.04</v>
      </c>
      <c r="F30" s="386">
        <f t="shared" si="2"/>
        <v>0.05</v>
      </c>
      <c r="G30" s="386">
        <f t="shared" si="3"/>
        <v>0.08</v>
      </c>
      <c r="H30" s="386">
        <f t="shared" si="4"/>
        <v>0.1</v>
      </c>
      <c r="I30" s="236" t="str">
        <f t="shared" si="5"/>
        <v>Tabla 201 del IFN3 y Anexo 2 (frondosas) IFN1 (2)</v>
      </c>
      <c r="J30" s="230" t="s">
        <v>347</v>
      </c>
      <c r="T30" s="495" t="s">
        <v>1</v>
      </c>
      <c r="U30" s="495"/>
      <c r="V30" s="495">
        <v>9.0997276417428483E-2</v>
      </c>
      <c r="W30" s="495">
        <v>0.11374659552178558</v>
      </c>
      <c r="X30" s="495">
        <v>0.18470565168801564</v>
      </c>
      <c r="Y30" s="495">
        <v>0.28736688910270414</v>
      </c>
      <c r="Z30" s="495">
        <v>0.32841930183166185</v>
      </c>
      <c r="AA30" s="495"/>
    </row>
    <row r="31" spans="2:27" ht="15.75" customHeight="1" x14ac:dyDescent="0.3">
      <c r="B31" s="770" t="s">
        <v>26</v>
      </c>
      <c r="C31" s="771"/>
      <c r="D31" s="386">
        <f t="shared" si="0"/>
        <v>0.04</v>
      </c>
      <c r="E31" s="386">
        <f t="shared" si="1"/>
        <v>0.04</v>
      </c>
      <c r="F31" s="386">
        <f t="shared" si="2"/>
        <v>0.05</v>
      </c>
      <c r="G31" s="386">
        <f t="shared" si="3"/>
        <v>0.12</v>
      </c>
      <c r="H31" s="386">
        <f t="shared" si="4"/>
        <v>0.14000000000000001</v>
      </c>
      <c r="I31" s="236" t="str">
        <f t="shared" si="5"/>
        <v>Tabla 201 del IFN3 y Anexo 2 (frondosas) IFN1 (2)</v>
      </c>
      <c r="J31" s="230" t="s">
        <v>347</v>
      </c>
      <c r="T31" s="495" t="s">
        <v>25</v>
      </c>
      <c r="U31" s="495"/>
      <c r="V31" s="495">
        <v>3.1871348877880464E-2</v>
      </c>
      <c r="W31" s="495">
        <v>3.9839186097350585E-2</v>
      </c>
      <c r="X31" s="495">
        <v>4.7807023316820692E-2</v>
      </c>
      <c r="Y31" s="495">
        <v>8.388718973868918E-2</v>
      </c>
      <c r="Z31" s="495">
        <v>9.5871073987073341E-2</v>
      </c>
      <c r="AA31" s="495"/>
    </row>
    <row r="32" spans="2:27" ht="15.75" customHeight="1" x14ac:dyDescent="0.3">
      <c r="B32" s="770" t="s">
        <v>312</v>
      </c>
      <c r="C32" s="771"/>
      <c r="D32" s="386">
        <f t="shared" si="0"/>
        <v>0.12</v>
      </c>
      <c r="E32" s="386">
        <f t="shared" si="1"/>
        <v>0.16</v>
      </c>
      <c r="F32" s="386">
        <f t="shared" si="2"/>
        <v>0.19</v>
      </c>
      <c r="G32" s="386">
        <f t="shared" si="3"/>
        <v>0.22</v>
      </c>
      <c r="H32" s="386">
        <f t="shared" si="4"/>
        <v>0.25</v>
      </c>
      <c r="I32" s="236" t="s">
        <v>358</v>
      </c>
      <c r="J32" s="230"/>
      <c r="T32" s="495" t="s">
        <v>26</v>
      </c>
      <c r="U32" s="495"/>
      <c r="V32" s="495">
        <v>3.5895556554346862E-2</v>
      </c>
      <c r="W32" s="495">
        <v>4.4869445692933579E-2</v>
      </c>
      <c r="X32" s="495">
        <v>5.3843334831520297E-2</v>
      </c>
      <c r="Y32" s="495">
        <v>0.12009784588996364</v>
      </c>
      <c r="Z32" s="495">
        <v>0.13725468101710131</v>
      </c>
      <c r="AA32" s="495"/>
    </row>
    <row r="33" spans="2:27" ht="15.75" customHeight="1" x14ac:dyDescent="0.3">
      <c r="B33" s="770" t="s">
        <v>204</v>
      </c>
      <c r="C33" s="771"/>
      <c r="D33" s="386">
        <f t="shared" si="0"/>
        <v>0.01</v>
      </c>
      <c r="E33" s="386">
        <f t="shared" si="1"/>
        <v>0.01</v>
      </c>
      <c r="F33" s="386">
        <f t="shared" si="2"/>
        <v>0.02</v>
      </c>
      <c r="G33" s="386">
        <f t="shared" si="3"/>
        <v>0.02</v>
      </c>
      <c r="H33" s="386">
        <f t="shared" si="4"/>
        <v>0.02</v>
      </c>
      <c r="I33" s="236" t="str">
        <f>IF(J33=$C$89,"Tabla 201 del IFN3 y Anexo 2 (Coníferas) IFN1 (1)",IF(J33=$C$90,"Tabla 201 del IFN3 y Anexo 2 (frondosas) IFN1 (2)",IF(J33=$C$91,"Tablas producción Madrigal (3)","")))</f>
        <v>Tabla 201 del IFN3 y Anexo 2 (Coníferas) IFN1 (1)</v>
      </c>
      <c r="J33" s="230" t="s">
        <v>348</v>
      </c>
      <c r="T33" s="495" t="s">
        <v>312</v>
      </c>
      <c r="U33" s="495"/>
      <c r="V33" s="495">
        <v>0.1241181539518298</v>
      </c>
      <c r="W33" s="495">
        <v>0.15514769243978724</v>
      </c>
      <c r="X33" s="495">
        <v>0.18617723092774471</v>
      </c>
      <c r="Y33" s="495">
        <v>0.21720676941570213</v>
      </c>
      <c r="Z33" s="495">
        <v>0.24823630790365961</v>
      </c>
      <c r="AA33" s="495"/>
    </row>
    <row r="34" spans="2:27" ht="15.75" customHeight="1" x14ac:dyDescent="0.3">
      <c r="B34" s="770" t="s">
        <v>205</v>
      </c>
      <c r="C34" s="771"/>
      <c r="D34" s="386">
        <f t="shared" si="0"/>
        <v>0.02</v>
      </c>
      <c r="E34" s="386">
        <f t="shared" si="1"/>
        <v>0.02</v>
      </c>
      <c r="F34" s="386">
        <f t="shared" si="2"/>
        <v>0.03</v>
      </c>
      <c r="G34" s="386">
        <f t="shared" si="3"/>
        <v>0.03</v>
      </c>
      <c r="H34" s="386">
        <f t="shared" si="4"/>
        <v>0.04</v>
      </c>
      <c r="I34" s="236" t="str">
        <f>IF(J34=$C$89,"Tabla 201 del IFN3 y Anexo 2 (Coníferas) IFN1 (1)",IF(J34=$C$90,"Tabla 201 del IFN3 y Anexo 2 (frondosas) IFN1 (2)",IF(J34=$C$91,"Tablas producción Madrigal (3)","")))</f>
        <v>Tabla 201 del IFN3 y Anexo 2 (Coníferas) IFN1 (1)</v>
      </c>
      <c r="J34" s="230" t="s">
        <v>348</v>
      </c>
      <c r="T34" s="495" t="s">
        <v>204</v>
      </c>
      <c r="U34" s="495"/>
      <c r="V34" s="495">
        <v>1.138475443544619E-2</v>
      </c>
      <c r="W34" s="495">
        <v>1.4230943044307736E-2</v>
      </c>
      <c r="X34" s="495">
        <v>1.7077131653169285E-2</v>
      </c>
      <c r="Y34" s="495">
        <v>1.9923320262030829E-2</v>
      </c>
      <c r="Z34" s="495">
        <v>2.276950887089238E-2</v>
      </c>
      <c r="AA34" s="495"/>
    </row>
    <row r="35" spans="2:27" ht="15.75" customHeight="1" x14ac:dyDescent="0.3">
      <c r="B35" s="770" t="s">
        <v>107</v>
      </c>
      <c r="C35" s="771"/>
      <c r="D35" s="386">
        <f t="shared" si="0"/>
        <v>0.01</v>
      </c>
      <c r="E35" s="386">
        <f t="shared" si="1"/>
        <v>0.02</v>
      </c>
      <c r="F35" s="386">
        <f t="shared" si="2"/>
        <v>0.02</v>
      </c>
      <c r="G35" s="386">
        <f t="shared" si="3"/>
        <v>0.02</v>
      </c>
      <c r="H35" s="386">
        <f t="shared" si="4"/>
        <v>0.03</v>
      </c>
      <c r="I35" s="236" t="str">
        <f>IF(J35=$C$89,"Tabla 201 del IFN3 y Anexo 2 (Coníferas) IFN1 (1)",IF(J35=$C$90,"Tabla 201 del IFN3 y Anexo 2 (frondosas) IFN1 (2)",IF(J35=$C$91,"Tablas producción Madrigal (3)","")))</f>
        <v>Tabla 201 del IFN3 y Anexo 2 (Coníferas) IFN1 (1)</v>
      </c>
      <c r="J35" s="230" t="s">
        <v>348</v>
      </c>
      <c r="T35" s="495" t="s">
        <v>205</v>
      </c>
      <c r="U35" s="495"/>
      <c r="V35" s="495">
        <v>1.885541322108111E-2</v>
      </c>
      <c r="W35" s="495">
        <v>2.3569266526351388E-2</v>
      </c>
      <c r="X35" s="495">
        <v>2.8283119831621666E-2</v>
      </c>
      <c r="Y35" s="495">
        <v>3.2996973136891941E-2</v>
      </c>
      <c r="Z35" s="495">
        <v>3.7710826442162219E-2</v>
      </c>
      <c r="AA35" s="495"/>
    </row>
    <row r="36" spans="2:27" ht="15.75" customHeight="1" x14ac:dyDescent="0.3">
      <c r="B36" s="770" t="s">
        <v>206</v>
      </c>
      <c r="C36" s="771"/>
      <c r="D36" s="386">
        <f t="shared" si="0"/>
        <v>0.34</v>
      </c>
      <c r="E36" s="386">
        <f t="shared" si="1"/>
        <v>0.43</v>
      </c>
      <c r="F36" s="386">
        <f t="shared" si="2"/>
        <v>0.52</v>
      </c>
      <c r="G36" s="386">
        <f t="shared" si="3"/>
        <v>0.6</v>
      </c>
      <c r="H36" s="386">
        <f t="shared" si="4"/>
        <v>0.69</v>
      </c>
      <c r="I36" s="304" t="s">
        <v>487</v>
      </c>
      <c r="J36" s="230" t="s">
        <v>348</v>
      </c>
      <c r="T36" s="495" t="s">
        <v>107</v>
      </c>
      <c r="U36" s="495"/>
      <c r="V36" s="495">
        <v>1.3942374656015961E-2</v>
      </c>
      <c r="W36" s="495">
        <v>1.742796832001995E-2</v>
      </c>
      <c r="X36" s="495">
        <v>2.0913561984023939E-2</v>
      </c>
      <c r="Y36" s="495">
        <v>2.4399155648027929E-2</v>
      </c>
      <c r="Z36" s="495">
        <v>2.7884749312031921E-2</v>
      </c>
      <c r="AA36" s="495"/>
    </row>
    <row r="37" spans="2:27" ht="15.75" customHeight="1" x14ac:dyDescent="0.3">
      <c r="B37" s="770" t="s">
        <v>27</v>
      </c>
      <c r="C37" s="771"/>
      <c r="D37" s="386">
        <f t="shared" si="0"/>
        <v>0.04</v>
      </c>
      <c r="E37" s="386">
        <f t="shared" si="1"/>
        <v>0.11</v>
      </c>
      <c r="F37" s="386">
        <f t="shared" si="2"/>
        <v>0.21</v>
      </c>
      <c r="G37" s="386">
        <f t="shared" si="3"/>
        <v>0.35</v>
      </c>
      <c r="H37" s="386">
        <f t="shared" si="4"/>
        <v>0.4</v>
      </c>
      <c r="I37" s="236" t="s">
        <v>358</v>
      </c>
      <c r="J37" s="230"/>
      <c r="T37" s="495" t="s">
        <v>206</v>
      </c>
      <c r="U37" s="495"/>
      <c r="V37" s="495">
        <v>0.34382433153064573</v>
      </c>
      <c r="W37" s="495">
        <v>0.42978041441330711</v>
      </c>
      <c r="X37" s="495">
        <v>0.5157364972959686</v>
      </c>
      <c r="Y37" s="495">
        <v>0.60169258017863003</v>
      </c>
      <c r="Z37" s="495">
        <v>0.68764866306129147</v>
      </c>
      <c r="AA37" s="495"/>
    </row>
    <row r="38" spans="2:27" ht="15.75" customHeight="1" x14ac:dyDescent="0.3">
      <c r="B38" s="770" t="s">
        <v>28</v>
      </c>
      <c r="C38" s="771"/>
      <c r="D38" s="386">
        <f t="shared" ref="D38:D69" si="6">ROUND(V39,2)</f>
        <v>0.04</v>
      </c>
      <c r="E38" s="386">
        <f t="shared" ref="E38:E69" si="7">ROUND(W39,2)</f>
        <v>0.11</v>
      </c>
      <c r="F38" s="386">
        <f t="shared" ref="F38:F69" si="8">ROUND(X39,2)</f>
        <v>0.21</v>
      </c>
      <c r="G38" s="386">
        <f t="shared" ref="G38:G69" si="9">ROUND(Y39,2)</f>
        <v>0.35</v>
      </c>
      <c r="H38" s="386">
        <f t="shared" ref="H38:H69" si="10">ROUND(Z39,2)</f>
        <v>0.4</v>
      </c>
      <c r="I38" s="236" t="s">
        <v>358</v>
      </c>
      <c r="J38" s="230"/>
      <c r="T38" s="495" t="s">
        <v>27</v>
      </c>
      <c r="U38" s="495"/>
      <c r="V38" s="495">
        <v>4.2905184381875593E-2</v>
      </c>
      <c r="W38" s="495">
        <v>0.11203292161465764</v>
      </c>
      <c r="X38" s="495">
        <v>0.20516585167863827</v>
      </c>
      <c r="Y38" s="495">
        <v>0.34790001540782683</v>
      </c>
      <c r="Z38" s="495">
        <v>0.39760001760894487</v>
      </c>
      <c r="AA38" s="495"/>
    </row>
    <row r="39" spans="2:27" ht="15.75" customHeight="1" x14ac:dyDescent="0.3">
      <c r="B39" s="770" t="s">
        <v>29</v>
      </c>
      <c r="C39" s="771"/>
      <c r="D39" s="386">
        <f t="shared" si="6"/>
        <v>0.15</v>
      </c>
      <c r="E39" s="386">
        <f t="shared" si="7"/>
        <v>0.19</v>
      </c>
      <c r="F39" s="386">
        <f t="shared" si="8"/>
        <v>0.22</v>
      </c>
      <c r="G39" s="386">
        <f t="shared" si="9"/>
        <v>0.26</v>
      </c>
      <c r="H39" s="386">
        <f t="shared" si="10"/>
        <v>0.3</v>
      </c>
      <c r="I39" s="236" t="s">
        <v>358</v>
      </c>
      <c r="J39" s="230"/>
      <c r="T39" s="495" t="s">
        <v>28</v>
      </c>
      <c r="U39" s="495"/>
      <c r="V39" s="495">
        <v>4.2905184381875593E-2</v>
      </c>
      <c r="W39" s="495">
        <v>0.11203292161465764</v>
      </c>
      <c r="X39" s="495">
        <v>0.20516585167863827</v>
      </c>
      <c r="Y39" s="495">
        <v>0.34790001540782683</v>
      </c>
      <c r="Z39" s="495">
        <v>0.39760001760894487</v>
      </c>
      <c r="AA39" s="495"/>
    </row>
    <row r="40" spans="2:27" ht="15.75" customHeight="1" x14ac:dyDescent="0.3">
      <c r="B40" s="770" t="s">
        <v>33</v>
      </c>
      <c r="C40" s="771"/>
      <c r="D40" s="386">
        <f t="shared" si="6"/>
        <v>0.04</v>
      </c>
      <c r="E40" s="386">
        <f t="shared" si="7"/>
        <v>0.11</v>
      </c>
      <c r="F40" s="386">
        <f t="shared" si="8"/>
        <v>0.21</v>
      </c>
      <c r="G40" s="386">
        <f t="shared" si="9"/>
        <v>0.35</v>
      </c>
      <c r="H40" s="386">
        <f t="shared" si="10"/>
        <v>0.4</v>
      </c>
      <c r="I40" s="236" t="s">
        <v>358</v>
      </c>
      <c r="J40" s="230"/>
      <c r="T40" s="495" t="s">
        <v>29</v>
      </c>
      <c r="U40" s="495"/>
      <c r="V40" s="495">
        <v>0.14975536130234138</v>
      </c>
      <c r="W40" s="495">
        <v>0.18719420162792669</v>
      </c>
      <c r="X40" s="495">
        <v>0.22463304195351205</v>
      </c>
      <c r="Y40" s="495">
        <v>0.26207188227909739</v>
      </c>
      <c r="Z40" s="495">
        <v>0.29951072260468276</v>
      </c>
      <c r="AA40" s="495"/>
    </row>
    <row r="41" spans="2:27" ht="15.75" customHeight="1" x14ac:dyDescent="0.3">
      <c r="B41" s="770" t="s">
        <v>34</v>
      </c>
      <c r="C41" s="771"/>
      <c r="D41" s="386">
        <f t="shared" si="6"/>
        <v>0.04</v>
      </c>
      <c r="E41" s="386">
        <f t="shared" si="7"/>
        <v>0.11</v>
      </c>
      <c r="F41" s="386">
        <f t="shared" si="8"/>
        <v>0.21</v>
      </c>
      <c r="G41" s="386">
        <f t="shared" si="9"/>
        <v>0.35</v>
      </c>
      <c r="H41" s="386">
        <f t="shared" si="10"/>
        <v>0.4</v>
      </c>
      <c r="I41" s="236" t="s">
        <v>358</v>
      </c>
      <c r="J41" s="230"/>
      <c r="T41" s="495" t="s">
        <v>33</v>
      </c>
      <c r="U41" s="495"/>
      <c r="V41" s="495">
        <v>4.2905184381875593E-2</v>
      </c>
      <c r="W41" s="495">
        <v>0.11203292161465764</v>
      </c>
      <c r="X41" s="495">
        <v>0.20516585167863827</v>
      </c>
      <c r="Y41" s="495">
        <v>0.34790001540782683</v>
      </c>
      <c r="Z41" s="495">
        <v>0.39760001760894487</v>
      </c>
      <c r="AA41" s="495"/>
    </row>
    <row r="42" spans="2:27" ht="15.75" customHeight="1" x14ac:dyDescent="0.3">
      <c r="B42" s="770" t="s">
        <v>186</v>
      </c>
      <c r="C42" s="771"/>
      <c r="D42" s="386">
        <f t="shared" si="6"/>
        <v>0.04</v>
      </c>
      <c r="E42" s="386">
        <f t="shared" si="7"/>
        <v>0.05</v>
      </c>
      <c r="F42" s="386">
        <f t="shared" si="8"/>
        <v>0.08</v>
      </c>
      <c r="G42" s="386">
        <f t="shared" si="9"/>
        <v>0.1</v>
      </c>
      <c r="H42" s="386">
        <f t="shared" si="10"/>
        <v>0.11</v>
      </c>
      <c r="I42" s="236" t="str">
        <f>IF(J42=$C$89,"Tabla 201 del IFN3 y Anexo 2 (Coníferas) IFN1 (1)",IF(J42=$C$90,"Tabla 201 del IFN3 y Anexo 2 (frondosas) IFN1 (2)",IF(J42=$C$91,"Tablas producción Madrigal (3)","")))</f>
        <v>Tabla 201 del IFN3 y Anexo 2 (frondosas) IFN1 (2)</v>
      </c>
      <c r="J42" s="230" t="s">
        <v>347</v>
      </c>
      <c r="T42" s="495" t="s">
        <v>34</v>
      </c>
      <c r="U42" s="495"/>
      <c r="V42" s="495">
        <v>4.2905184381875593E-2</v>
      </c>
      <c r="W42" s="495">
        <v>0.11203292161465764</v>
      </c>
      <c r="X42" s="495">
        <v>0.20516585167863827</v>
      </c>
      <c r="Y42" s="495">
        <v>0.34790001540782683</v>
      </c>
      <c r="Z42" s="495">
        <v>0.39760001760894487</v>
      </c>
      <c r="AA42" s="495"/>
    </row>
    <row r="43" spans="2:27" ht="15.75" customHeight="1" x14ac:dyDescent="0.3">
      <c r="B43" s="770" t="s">
        <v>39</v>
      </c>
      <c r="C43" s="771"/>
      <c r="D43" s="386">
        <f t="shared" si="6"/>
        <v>0.03</v>
      </c>
      <c r="E43" s="386">
        <f t="shared" si="7"/>
        <v>0.03</v>
      </c>
      <c r="F43" s="386">
        <f t="shared" si="8"/>
        <v>0.09</v>
      </c>
      <c r="G43" s="386">
        <f t="shared" si="9"/>
        <v>0.17</v>
      </c>
      <c r="H43" s="386">
        <f t="shared" si="10"/>
        <v>0.2</v>
      </c>
      <c r="I43" s="236" t="str">
        <f>IF(J43=$C$89,"Tabla 201 del IFN3 y Anexo 2 (Coníferas) IFN1 (1)",IF(J43=$C$90,"Tabla 201 del IFN3 y Anexo 2 (frondosas) IFN1 (2)",IF(J43=$C$91,"Tablas producción Madrigal (3)","")))</f>
        <v>Tabla 201 del IFN3 y Anexo 2 (frondosas) IFN1 (2)</v>
      </c>
      <c r="J43" s="230" t="s">
        <v>347</v>
      </c>
      <c r="T43" s="495" t="s">
        <v>186</v>
      </c>
      <c r="U43" s="495"/>
      <c r="V43" s="495">
        <v>3.8995053250978962E-2</v>
      </c>
      <c r="W43" s="495">
        <v>4.8743816563723702E-2</v>
      </c>
      <c r="X43" s="495">
        <v>8.4081899478263639E-2</v>
      </c>
      <c r="Y43" s="495">
        <v>9.8095549391307588E-2</v>
      </c>
      <c r="Z43" s="495">
        <v>0.11210919930435154</v>
      </c>
      <c r="AA43" s="495"/>
    </row>
    <row r="44" spans="2:27" ht="15.75" customHeight="1" x14ac:dyDescent="0.3">
      <c r="B44" s="770" t="s">
        <v>40</v>
      </c>
      <c r="C44" s="771"/>
      <c r="D44" s="386">
        <f t="shared" si="6"/>
        <v>0.31</v>
      </c>
      <c r="E44" s="386">
        <f t="shared" si="7"/>
        <v>0.56999999999999995</v>
      </c>
      <c r="F44" s="386">
        <f t="shared" si="8"/>
        <v>0.9</v>
      </c>
      <c r="G44" s="386">
        <f t="shared" si="9"/>
        <v>1.24</v>
      </c>
      <c r="H44" s="386">
        <f t="shared" si="10"/>
        <v>1.37</v>
      </c>
      <c r="I44" s="236" t="s">
        <v>358</v>
      </c>
      <c r="J44" s="230"/>
      <c r="T44" s="495" t="s">
        <v>39</v>
      </c>
      <c r="U44" s="495"/>
      <c r="V44" s="495">
        <v>2.5342670549338638E-2</v>
      </c>
      <c r="W44" s="495">
        <v>3.1678338186673295E-2</v>
      </c>
      <c r="X44" s="495">
        <v>8.9359935740666363E-2</v>
      </c>
      <c r="Y44" s="495">
        <v>0.17131551853775909</v>
      </c>
      <c r="Z44" s="495">
        <v>0.19578916404315322</v>
      </c>
      <c r="AA44" s="495"/>
    </row>
    <row r="45" spans="2:27" ht="15.75" customHeight="1" x14ac:dyDescent="0.3">
      <c r="B45" s="770" t="s">
        <v>41</v>
      </c>
      <c r="C45" s="771"/>
      <c r="D45" s="386">
        <f t="shared" si="6"/>
        <v>0.35</v>
      </c>
      <c r="E45" s="386">
        <f t="shared" si="7"/>
        <v>0.63</v>
      </c>
      <c r="F45" s="386">
        <f t="shared" si="8"/>
        <v>1.3</v>
      </c>
      <c r="G45" s="386">
        <f t="shared" si="9"/>
        <v>2.88</v>
      </c>
      <c r="H45" s="386">
        <f t="shared" si="10"/>
        <v>3.4</v>
      </c>
      <c r="I45" s="236" t="s">
        <v>358</v>
      </c>
      <c r="J45" s="230"/>
      <c r="T45" s="495" t="s">
        <v>40</v>
      </c>
      <c r="U45" s="495"/>
      <c r="V45" s="495">
        <v>0.3086707442568718</v>
      </c>
      <c r="W45" s="495">
        <v>0.57498705887181834</v>
      </c>
      <c r="X45" s="495">
        <v>0.89565940633103525</v>
      </c>
      <c r="Y45" s="495">
        <v>1.2444439508529392</v>
      </c>
      <c r="Z45" s="495">
        <v>1.3659285306119766</v>
      </c>
      <c r="AA45" s="495"/>
    </row>
    <row r="46" spans="2:27" ht="15.75" customHeight="1" x14ac:dyDescent="0.3">
      <c r="B46" s="768" t="s">
        <v>42</v>
      </c>
      <c r="C46" s="769"/>
      <c r="D46" s="386">
        <f t="shared" si="6"/>
        <v>0.03</v>
      </c>
      <c r="E46" s="386">
        <f t="shared" si="7"/>
        <v>7.0000000000000007E-2</v>
      </c>
      <c r="F46" s="386">
        <f t="shared" si="8"/>
        <v>0.14000000000000001</v>
      </c>
      <c r="G46" s="386">
        <f t="shared" si="9"/>
        <v>0.16</v>
      </c>
      <c r="H46" s="386">
        <f t="shared" si="10"/>
        <v>0.18</v>
      </c>
      <c r="I46" s="236" t="str">
        <f t="shared" ref="I46:I60" si="11">IF(J46=$C$89,"Tabla 201 del IFN3 y Anexo 2 (Coníferas) IFN1 (1)",IF(J46=$C$90,"Tabla 201 del IFN3 y Anexo 2 (frondosas) IFN1 (2)",IF(J46=$C$91,"Tablas producción Madrigal (3)","")))</f>
        <v>Tabla 201 del IFN3 y Anexo 2 (Coníferas) IFN1 (1)</v>
      </c>
      <c r="J46" s="230" t="s">
        <v>348</v>
      </c>
      <c r="T46" s="495" t="s">
        <v>41</v>
      </c>
      <c r="U46" s="495"/>
      <c r="V46" s="495">
        <v>0.34624258854033912</v>
      </c>
      <c r="W46" s="495">
        <v>0.63416449134559993</v>
      </c>
      <c r="X46" s="495">
        <v>1.2964681323565146</v>
      </c>
      <c r="Y46" s="495">
        <v>2.8776869027198626</v>
      </c>
      <c r="Z46" s="495">
        <v>3.4048640619376549</v>
      </c>
      <c r="AA46" s="495"/>
    </row>
    <row r="47" spans="2:27" ht="15.75" customHeight="1" x14ac:dyDescent="0.3">
      <c r="B47" s="768" t="s">
        <v>43</v>
      </c>
      <c r="C47" s="769"/>
      <c r="D47" s="386">
        <f t="shared" si="6"/>
        <v>0.03</v>
      </c>
      <c r="E47" s="386">
        <f t="shared" si="7"/>
        <v>0.04</v>
      </c>
      <c r="F47" s="386">
        <f t="shared" si="8"/>
        <v>0.08</v>
      </c>
      <c r="G47" s="386">
        <f t="shared" si="9"/>
        <v>0.14000000000000001</v>
      </c>
      <c r="H47" s="386">
        <f t="shared" si="10"/>
        <v>0.16</v>
      </c>
      <c r="I47" s="236" t="str">
        <f t="shared" si="11"/>
        <v>Tabla 201 del IFN3 y Anexo 2 (Coníferas) IFN1 (1)</v>
      </c>
      <c r="J47" s="230" t="s">
        <v>348</v>
      </c>
      <c r="T47" s="495" t="s">
        <v>42</v>
      </c>
      <c r="U47" s="495"/>
      <c r="V47" s="495">
        <v>2.6547327211478084E-2</v>
      </c>
      <c r="W47" s="495">
        <v>6.8345157178653956E-2</v>
      </c>
      <c r="X47" s="495">
        <v>0.13534900640836928</v>
      </c>
      <c r="Y47" s="495">
        <v>0.15790717414309749</v>
      </c>
      <c r="Z47" s="495">
        <v>0.1804653418778257</v>
      </c>
      <c r="AA47" s="495"/>
    </row>
    <row r="48" spans="2:27" ht="15.75" customHeight="1" x14ac:dyDescent="0.3">
      <c r="B48" s="768" t="s">
        <v>292</v>
      </c>
      <c r="C48" s="769"/>
      <c r="D48" s="386">
        <f t="shared" si="6"/>
        <v>0.03</v>
      </c>
      <c r="E48" s="386">
        <f t="shared" si="7"/>
        <v>0.04</v>
      </c>
      <c r="F48" s="386">
        <f t="shared" si="8"/>
        <v>0.05</v>
      </c>
      <c r="G48" s="386">
        <f t="shared" si="9"/>
        <v>0.11</v>
      </c>
      <c r="H48" s="386">
        <f t="shared" si="10"/>
        <v>0.13</v>
      </c>
      <c r="I48" s="236" t="str">
        <f t="shared" si="11"/>
        <v>Tablas producción Madrigal (3)</v>
      </c>
      <c r="J48" s="230" t="s">
        <v>350</v>
      </c>
      <c r="T48" s="495" t="s">
        <v>43</v>
      </c>
      <c r="U48" s="495"/>
      <c r="V48" s="495">
        <v>3.079439737450931E-2</v>
      </c>
      <c r="W48" s="495">
        <v>3.8492996718136628E-2</v>
      </c>
      <c r="X48" s="495">
        <v>8.21892270440258E-2</v>
      </c>
      <c r="Y48" s="495">
        <v>0.1375600979341646</v>
      </c>
      <c r="Z48" s="495">
        <v>0.15721154049618813</v>
      </c>
      <c r="AA48" s="495"/>
    </row>
    <row r="49" spans="2:27" ht="15.75" customHeight="1" x14ac:dyDescent="0.3">
      <c r="B49" s="768" t="s">
        <v>375</v>
      </c>
      <c r="C49" s="769"/>
      <c r="D49" s="386">
        <f t="shared" si="6"/>
        <v>0.03</v>
      </c>
      <c r="E49" s="386">
        <f t="shared" si="7"/>
        <v>0.03</v>
      </c>
      <c r="F49" s="386">
        <f t="shared" si="8"/>
        <v>0.08</v>
      </c>
      <c r="G49" s="386">
        <f t="shared" si="9"/>
        <v>0.09</v>
      </c>
      <c r="H49" s="386">
        <f t="shared" si="10"/>
        <v>0.11</v>
      </c>
      <c r="I49" s="236" t="str">
        <f>I47</f>
        <v>Tabla 201 del IFN3 y Anexo 2 (Coníferas) IFN1 (1)</v>
      </c>
      <c r="J49" s="230"/>
      <c r="T49" s="495" t="s">
        <v>292</v>
      </c>
      <c r="U49" s="495"/>
      <c r="V49" s="495">
        <v>3.4157697129970299E-2</v>
      </c>
      <c r="W49" s="495">
        <v>4.2697121412462874E-2</v>
      </c>
      <c r="X49" s="495">
        <v>5.1236545694955449E-2</v>
      </c>
      <c r="Y49" s="495">
        <v>0.10884537979242993</v>
      </c>
      <c r="Z49" s="495">
        <v>0.12636076078387784</v>
      </c>
      <c r="AA49" s="495"/>
    </row>
    <row r="50" spans="2:27" ht="15.75" customHeight="1" x14ac:dyDescent="0.3">
      <c r="B50" s="768" t="s">
        <v>351</v>
      </c>
      <c r="C50" s="769"/>
      <c r="D50" s="386">
        <f t="shared" si="6"/>
        <v>0.23</v>
      </c>
      <c r="E50" s="386">
        <f t="shared" si="7"/>
        <v>0.41</v>
      </c>
      <c r="F50" s="386">
        <f t="shared" si="8"/>
        <v>0.57999999999999996</v>
      </c>
      <c r="G50" s="386">
        <f t="shared" si="9"/>
        <v>0.74</v>
      </c>
      <c r="H50" s="386">
        <f t="shared" si="10"/>
        <v>0.91</v>
      </c>
      <c r="I50" s="236" t="str">
        <f t="shared" si="11"/>
        <v>Tablas producción Madrigal (3)</v>
      </c>
      <c r="J50" s="230" t="s">
        <v>350</v>
      </c>
      <c r="T50" s="495" t="s">
        <v>599</v>
      </c>
      <c r="U50" s="495"/>
      <c r="V50" s="495">
        <v>2.6073137524437157E-2</v>
      </c>
      <c r="W50" s="495">
        <v>3.2591421905546439E-2</v>
      </c>
      <c r="X50" s="495">
        <v>7.9197813699280514E-2</v>
      </c>
      <c r="Y50" s="495">
        <v>9.2397449315827287E-2</v>
      </c>
      <c r="Z50" s="495">
        <v>0.10559708493237403</v>
      </c>
      <c r="AA50" s="495"/>
    </row>
    <row r="51" spans="2:27" ht="15.75" customHeight="1" x14ac:dyDescent="0.3">
      <c r="B51" s="768" t="s">
        <v>352</v>
      </c>
      <c r="C51" s="769"/>
      <c r="D51" s="386">
        <f t="shared" si="6"/>
        <v>0.33</v>
      </c>
      <c r="E51" s="386">
        <f t="shared" si="7"/>
        <v>0.54</v>
      </c>
      <c r="F51" s="386">
        <f t="shared" si="8"/>
        <v>0.69</v>
      </c>
      <c r="G51" s="386">
        <f t="shared" si="9"/>
        <v>0.81</v>
      </c>
      <c r="H51" s="386">
        <f t="shared" si="10"/>
        <v>0.92</v>
      </c>
      <c r="I51" s="236" t="str">
        <f t="shared" si="11"/>
        <v>Tablas producción Madrigal (3)</v>
      </c>
      <c r="J51" s="230" t="s">
        <v>350</v>
      </c>
      <c r="T51" s="495" t="s">
        <v>601</v>
      </c>
      <c r="U51" s="495"/>
      <c r="V51" s="495">
        <v>0.2327115308614556</v>
      </c>
      <c r="W51" s="495">
        <v>0.40856203182870365</v>
      </c>
      <c r="X51" s="495">
        <v>0.58249493630952376</v>
      </c>
      <c r="Y51" s="495">
        <v>0.74304199720492636</v>
      </c>
      <c r="Z51" s="495">
        <v>0.91206257563956428</v>
      </c>
      <c r="AA51" s="495"/>
    </row>
    <row r="52" spans="2:27" ht="15.75" customHeight="1" x14ac:dyDescent="0.3">
      <c r="B52" s="768" t="s">
        <v>295</v>
      </c>
      <c r="C52" s="769"/>
      <c r="D52" s="386">
        <f t="shared" si="6"/>
        <v>0.12</v>
      </c>
      <c r="E52" s="386">
        <f t="shared" si="7"/>
        <v>0.15</v>
      </c>
      <c r="F52" s="386">
        <f t="shared" si="8"/>
        <v>0.18</v>
      </c>
      <c r="G52" s="386">
        <f t="shared" si="9"/>
        <v>0.26</v>
      </c>
      <c r="H52" s="386">
        <f t="shared" si="10"/>
        <v>0.36</v>
      </c>
      <c r="I52" s="236" t="str">
        <f t="shared" si="11"/>
        <v>Tablas producción Madrigal (3)</v>
      </c>
      <c r="J52" s="230" t="s">
        <v>350</v>
      </c>
      <c r="T52" s="495" t="s">
        <v>602</v>
      </c>
      <c r="U52" s="495"/>
      <c r="V52" s="495">
        <v>0.32827964901620366</v>
      </c>
      <c r="W52" s="495">
        <v>0.53815745067959075</v>
      </c>
      <c r="X52" s="495">
        <v>0.69121584652967782</v>
      </c>
      <c r="Y52" s="495">
        <v>0.80641848761795754</v>
      </c>
      <c r="Z52" s="495">
        <v>0.92162112870623725</v>
      </c>
      <c r="AA52" s="495"/>
    </row>
    <row r="53" spans="2:27" ht="15.75" customHeight="1" x14ac:dyDescent="0.3">
      <c r="B53" s="768" t="s">
        <v>353</v>
      </c>
      <c r="C53" s="769"/>
      <c r="D53" s="386">
        <f t="shared" si="6"/>
        <v>0.02</v>
      </c>
      <c r="E53" s="386">
        <f t="shared" si="7"/>
        <v>0.03</v>
      </c>
      <c r="F53" s="386">
        <f t="shared" si="8"/>
        <v>0.03</v>
      </c>
      <c r="G53" s="386">
        <f t="shared" si="9"/>
        <v>0.08</v>
      </c>
      <c r="H53" s="386">
        <f t="shared" si="10"/>
        <v>0.09</v>
      </c>
      <c r="I53" s="236" t="str">
        <f t="shared" si="11"/>
        <v>Tabla 201 del IFN3 y Anexo 2 (Coníferas) IFN1 (1)</v>
      </c>
      <c r="J53" s="230" t="s">
        <v>348</v>
      </c>
      <c r="T53" s="495" t="s">
        <v>295</v>
      </c>
      <c r="U53" s="495"/>
      <c r="V53" s="495">
        <v>0.11982849020241199</v>
      </c>
      <c r="W53" s="495">
        <v>0.14978561275301497</v>
      </c>
      <c r="X53" s="495">
        <v>0.17974273530361798</v>
      </c>
      <c r="Y53" s="495">
        <v>0.26196202857543643</v>
      </c>
      <c r="Z53" s="495">
        <v>0.35801687535521448</v>
      </c>
      <c r="AA53" s="495"/>
    </row>
    <row r="54" spans="2:27" ht="15.75" customHeight="1" x14ac:dyDescent="0.3">
      <c r="B54" s="768" t="s">
        <v>46</v>
      </c>
      <c r="C54" s="769"/>
      <c r="D54" s="386">
        <f t="shared" si="6"/>
        <v>0.06</v>
      </c>
      <c r="E54" s="386">
        <f t="shared" si="7"/>
        <v>0.1</v>
      </c>
      <c r="F54" s="386">
        <f t="shared" si="8"/>
        <v>0.17</v>
      </c>
      <c r="G54" s="386">
        <f t="shared" si="9"/>
        <v>0.2</v>
      </c>
      <c r="H54" s="386">
        <f t="shared" si="10"/>
        <v>0.28999999999999998</v>
      </c>
      <c r="I54" s="236" t="str">
        <f t="shared" si="11"/>
        <v>Tabla 201 del IFN3 y Anexo 2 (Coníferas) IFN1 (1)</v>
      </c>
      <c r="J54" s="230" t="s">
        <v>348</v>
      </c>
      <c r="T54" s="495" t="s">
        <v>600</v>
      </c>
      <c r="U54" s="495"/>
      <c r="V54" s="495">
        <v>2.2564090284982921E-2</v>
      </c>
      <c r="W54" s="495">
        <v>2.8205112856228648E-2</v>
      </c>
      <c r="X54" s="495">
        <v>3.3846135427474382E-2</v>
      </c>
      <c r="Y54" s="495">
        <v>7.9542600800647137E-2</v>
      </c>
      <c r="Z54" s="495">
        <v>9.0905829486453871E-2</v>
      </c>
      <c r="AA54" s="495"/>
    </row>
    <row r="55" spans="2:27" ht="15.75" customHeight="1" x14ac:dyDescent="0.3">
      <c r="B55" s="768" t="s">
        <v>47</v>
      </c>
      <c r="C55" s="769"/>
      <c r="D55" s="386">
        <f t="shared" si="6"/>
        <v>0.46</v>
      </c>
      <c r="E55" s="386">
        <f t="shared" si="7"/>
        <v>0.79</v>
      </c>
      <c r="F55" s="386">
        <f t="shared" si="8"/>
        <v>1.17</v>
      </c>
      <c r="G55" s="386">
        <f t="shared" si="9"/>
        <v>1.56</v>
      </c>
      <c r="H55" s="386">
        <f t="shared" si="10"/>
        <v>1.78</v>
      </c>
      <c r="I55" s="236" t="str">
        <f t="shared" si="11"/>
        <v>Tablas producción Madrigal (3)</v>
      </c>
      <c r="J55" s="230" t="s">
        <v>350</v>
      </c>
      <c r="T55" s="495" t="s">
        <v>46</v>
      </c>
      <c r="U55" s="495"/>
      <c r="V55" s="495">
        <v>5.5735242101476262E-2</v>
      </c>
      <c r="W55" s="495">
        <v>9.7053556441893188E-2</v>
      </c>
      <c r="X55" s="495">
        <v>0.16760700183877539</v>
      </c>
      <c r="Y55" s="495">
        <v>0.19554150214523794</v>
      </c>
      <c r="Z55" s="495">
        <v>0.29288141063309686</v>
      </c>
      <c r="AA55" s="495"/>
    </row>
    <row r="56" spans="2:27" ht="15.75" customHeight="1" x14ac:dyDescent="0.3">
      <c r="B56" s="768" t="s">
        <v>298</v>
      </c>
      <c r="C56" s="769"/>
      <c r="D56" s="386">
        <f t="shared" si="6"/>
        <v>0.02</v>
      </c>
      <c r="E56" s="386">
        <f t="shared" si="7"/>
        <v>0.05</v>
      </c>
      <c r="F56" s="386">
        <f t="shared" si="8"/>
        <v>0.06</v>
      </c>
      <c r="G56" s="386">
        <f t="shared" si="9"/>
        <v>0.15</v>
      </c>
      <c r="H56" s="386">
        <f t="shared" si="10"/>
        <v>0.17</v>
      </c>
      <c r="I56" s="236" t="str">
        <f t="shared" si="11"/>
        <v>Tablas producción Madrigal (3)</v>
      </c>
      <c r="J56" s="230" t="s">
        <v>350</v>
      </c>
      <c r="T56" s="495" t="s">
        <v>47</v>
      </c>
      <c r="U56" s="495"/>
      <c r="V56" s="495">
        <v>0.4564333244723322</v>
      </c>
      <c r="W56" s="495">
        <v>0.78694276633853766</v>
      </c>
      <c r="X56" s="495">
        <v>1.1651157738742044</v>
      </c>
      <c r="Y56" s="495">
        <v>1.5580231120134596</v>
      </c>
      <c r="Z56" s="495">
        <v>1.7805978423010973</v>
      </c>
      <c r="AA56" s="495"/>
    </row>
    <row r="57" spans="2:27" ht="15.75" customHeight="1" x14ac:dyDescent="0.3">
      <c r="B57" s="768" t="s">
        <v>311</v>
      </c>
      <c r="C57" s="769"/>
      <c r="D57" s="386">
        <f t="shared" si="6"/>
        <v>0.03</v>
      </c>
      <c r="E57" s="386">
        <f t="shared" si="7"/>
        <v>0.04</v>
      </c>
      <c r="F57" s="386">
        <f t="shared" si="8"/>
        <v>0.05</v>
      </c>
      <c r="G57" s="386">
        <f t="shared" si="9"/>
        <v>0.09</v>
      </c>
      <c r="H57" s="386">
        <f t="shared" si="10"/>
        <v>0.11</v>
      </c>
      <c r="I57" s="236" t="str">
        <f t="shared" si="11"/>
        <v>Tablas producción Madrigal (3)</v>
      </c>
      <c r="J57" s="230" t="s">
        <v>350</v>
      </c>
      <c r="T57" s="495" t="s">
        <v>298</v>
      </c>
      <c r="U57" s="495"/>
      <c r="V57" s="495">
        <v>2.0214699176883854E-2</v>
      </c>
      <c r="W57" s="495">
        <v>5.0853708186201808E-2</v>
      </c>
      <c r="X57" s="495">
        <v>6.102444982344217E-2</v>
      </c>
      <c r="Y57" s="495">
        <v>0.14704079816421481</v>
      </c>
      <c r="Z57" s="495">
        <v>0.16804662647338833</v>
      </c>
      <c r="AA57" s="495"/>
    </row>
    <row r="58" spans="2:27" ht="15.75" customHeight="1" x14ac:dyDescent="0.3">
      <c r="B58" s="768" t="s">
        <v>296</v>
      </c>
      <c r="C58" s="769"/>
      <c r="D58" s="386">
        <f t="shared" si="6"/>
        <v>0.04</v>
      </c>
      <c r="E58" s="386">
        <f t="shared" si="7"/>
        <v>0.05</v>
      </c>
      <c r="F58" s="386">
        <f t="shared" si="8"/>
        <v>7.0000000000000007E-2</v>
      </c>
      <c r="G58" s="386">
        <f t="shared" si="9"/>
        <v>0.11</v>
      </c>
      <c r="H58" s="386">
        <f t="shared" si="10"/>
        <v>0.17</v>
      </c>
      <c r="I58" s="236" t="str">
        <f t="shared" si="11"/>
        <v>Tablas producción Madrigal (3)</v>
      </c>
      <c r="J58" s="230" t="s">
        <v>350</v>
      </c>
      <c r="T58" s="495" t="s">
        <v>311</v>
      </c>
      <c r="U58" s="495"/>
      <c r="V58" s="495">
        <v>3.1639288306640985E-2</v>
      </c>
      <c r="W58" s="495">
        <v>3.9549110383301236E-2</v>
      </c>
      <c r="X58" s="495">
        <v>4.7458932459961474E-2</v>
      </c>
      <c r="Y58" s="495">
        <v>9.1964080011148003E-2</v>
      </c>
      <c r="Z58" s="495">
        <v>0.10795822541769297</v>
      </c>
      <c r="AA58" s="495"/>
    </row>
    <row r="59" spans="2:27" ht="15.75" customHeight="1" x14ac:dyDescent="0.3">
      <c r="B59" s="768" t="s">
        <v>513</v>
      </c>
      <c r="C59" s="769"/>
      <c r="D59" s="386">
        <f t="shared" si="6"/>
        <v>0.03</v>
      </c>
      <c r="E59" s="386">
        <f t="shared" si="7"/>
        <v>0.05</v>
      </c>
      <c r="F59" s="386">
        <f t="shared" si="8"/>
        <v>0.06</v>
      </c>
      <c r="G59" s="386">
        <f t="shared" si="9"/>
        <v>0.12</v>
      </c>
      <c r="H59" s="386">
        <f t="shared" si="10"/>
        <v>0.15</v>
      </c>
      <c r="I59" s="236" t="str">
        <f t="shared" si="11"/>
        <v>Tabla 201 del IFN3 y Anexo 2 (Coníferas) IFN1 (1)</v>
      </c>
      <c r="J59" s="230" t="s">
        <v>348</v>
      </c>
      <c r="T59" s="495" t="s">
        <v>296</v>
      </c>
      <c r="U59" s="495"/>
      <c r="V59" s="495">
        <v>4.3635426256541009E-2</v>
      </c>
      <c r="W59" s="495">
        <v>5.4544282820676256E-2</v>
      </c>
      <c r="X59" s="495">
        <v>6.545313938481151E-2</v>
      </c>
      <c r="Y59" s="495">
        <v>0.10950251840392226</v>
      </c>
      <c r="Z59" s="495">
        <v>0.16625264941496601</v>
      </c>
      <c r="AA59" s="495"/>
    </row>
    <row r="60" spans="2:27" ht="15.75" customHeight="1" x14ac:dyDescent="0.3">
      <c r="B60" s="768" t="s">
        <v>49</v>
      </c>
      <c r="C60" s="769"/>
      <c r="D60" s="386">
        <f t="shared" si="6"/>
        <v>0.04</v>
      </c>
      <c r="E60" s="386">
        <f t="shared" si="7"/>
        <v>0.05</v>
      </c>
      <c r="F60" s="386">
        <f t="shared" si="8"/>
        <v>0.09</v>
      </c>
      <c r="G60" s="386">
        <f t="shared" si="9"/>
        <v>0.11</v>
      </c>
      <c r="H60" s="386">
        <f t="shared" si="10"/>
        <v>0.12</v>
      </c>
      <c r="I60" s="236" t="str">
        <f t="shared" si="11"/>
        <v>Tabla 201 del IFN3 y Anexo 2 (Coníferas) IFN1 (1)</v>
      </c>
      <c r="J60" s="230" t="s">
        <v>348</v>
      </c>
      <c r="T60" s="495" t="s">
        <v>607</v>
      </c>
      <c r="U60" s="495"/>
      <c r="V60" s="495">
        <v>3.1829804580021943E-2</v>
      </c>
      <c r="W60" s="495">
        <v>4.8315700463393098E-2</v>
      </c>
      <c r="X60" s="495">
        <v>5.797884055607172E-2</v>
      </c>
      <c r="Y60" s="495">
        <v>0.11616913219309503</v>
      </c>
      <c r="Z60" s="495">
        <v>0.14741916710201577</v>
      </c>
      <c r="AA60" s="495"/>
    </row>
    <row r="61" spans="2:27" ht="15.75" customHeight="1" x14ac:dyDescent="0.3">
      <c r="B61" s="770" t="s">
        <v>50</v>
      </c>
      <c r="C61" s="771"/>
      <c r="D61" s="386">
        <f t="shared" si="6"/>
        <v>0.04</v>
      </c>
      <c r="E61" s="386">
        <f t="shared" si="7"/>
        <v>0.11</v>
      </c>
      <c r="F61" s="386">
        <f t="shared" si="8"/>
        <v>0.21</v>
      </c>
      <c r="G61" s="386">
        <f t="shared" si="9"/>
        <v>0.35</v>
      </c>
      <c r="H61" s="386">
        <f t="shared" si="10"/>
        <v>0.4</v>
      </c>
      <c r="I61" s="236" t="s">
        <v>358</v>
      </c>
      <c r="J61" s="230"/>
      <c r="T61" s="495" t="s">
        <v>49</v>
      </c>
      <c r="U61" s="495"/>
      <c r="V61" s="495">
        <v>3.6603166366973285E-2</v>
      </c>
      <c r="W61" s="495">
        <v>4.5753957958716604E-2</v>
      </c>
      <c r="X61" s="495">
        <v>9.0140403287118462E-2</v>
      </c>
      <c r="Y61" s="495">
        <v>0.10516380383497152</v>
      </c>
      <c r="Z61" s="495">
        <v>0.12018720438282458</v>
      </c>
      <c r="AA61" s="495"/>
    </row>
    <row r="62" spans="2:27" ht="15.75" customHeight="1" x14ac:dyDescent="0.3">
      <c r="B62" s="770" t="s">
        <v>51</v>
      </c>
      <c r="C62" s="771"/>
      <c r="D62" s="386">
        <f t="shared" si="6"/>
        <v>0.21</v>
      </c>
      <c r="E62" s="386">
        <f t="shared" si="7"/>
        <v>0.46</v>
      </c>
      <c r="F62" s="386">
        <f t="shared" si="8"/>
        <v>0.67</v>
      </c>
      <c r="G62" s="386">
        <f t="shared" si="9"/>
        <v>0.92</v>
      </c>
      <c r="H62" s="386">
        <f t="shared" si="10"/>
        <v>1.26</v>
      </c>
      <c r="I62" s="236" t="s">
        <v>358</v>
      </c>
      <c r="J62" s="230"/>
      <c r="T62" s="495" t="s">
        <v>50</v>
      </c>
      <c r="U62" s="495"/>
      <c r="V62" s="495">
        <v>4.2905184381875593E-2</v>
      </c>
      <c r="W62" s="495">
        <v>0.11203292161465764</v>
      </c>
      <c r="X62" s="495">
        <v>0.20516585167863827</v>
      </c>
      <c r="Y62" s="495">
        <v>0.34790001540782683</v>
      </c>
      <c r="Z62" s="495">
        <v>0.39760001760894487</v>
      </c>
      <c r="AA62" s="495"/>
    </row>
    <row r="63" spans="2:27" ht="15.75" customHeight="1" x14ac:dyDescent="0.3">
      <c r="B63" s="770" t="s">
        <v>110</v>
      </c>
      <c r="C63" s="771"/>
      <c r="D63" s="386">
        <f t="shared" si="6"/>
        <v>0.21</v>
      </c>
      <c r="E63" s="386">
        <f t="shared" si="7"/>
        <v>0.46</v>
      </c>
      <c r="F63" s="386">
        <f t="shared" si="8"/>
        <v>0.67</v>
      </c>
      <c r="G63" s="386">
        <f t="shared" si="9"/>
        <v>0.92</v>
      </c>
      <c r="H63" s="386">
        <f t="shared" si="10"/>
        <v>1.26</v>
      </c>
      <c r="I63" s="236" t="str">
        <f>IF(J63=$C$89,"Tabla 201 del IFN3 y Anexo 2 (Coníferas) IFN1 (1)",IF(J63=$C$90,"Tabla 201 del IFN3 y Anexo 2 (frondosas) IFN1 (2)",IF(J63=$C$91,"Tablas producción Madrigal (3)","")))</f>
        <v>Tabla 201 del IFN3 y Anexo 2 (frondosas) IFN1 (2)</v>
      </c>
      <c r="J63" s="230" t="s">
        <v>347</v>
      </c>
      <c r="T63" s="495" t="s">
        <v>51</v>
      </c>
      <c r="U63" s="495"/>
      <c r="V63" s="495">
        <v>0.20654286732427818</v>
      </c>
      <c r="W63" s="495">
        <v>0.45940713286933604</v>
      </c>
      <c r="X63" s="495">
        <v>0.67165279962424007</v>
      </c>
      <c r="Y63" s="495">
        <v>0.92277386354672075</v>
      </c>
      <c r="Z63" s="495">
        <v>1.2630946245650829</v>
      </c>
      <c r="AA63" s="495"/>
    </row>
    <row r="64" spans="2:27" ht="15.75" customHeight="1" x14ac:dyDescent="0.3">
      <c r="B64" s="768" t="s">
        <v>52</v>
      </c>
      <c r="C64" s="769"/>
      <c r="D64" s="386">
        <f t="shared" si="6"/>
        <v>0.28999999999999998</v>
      </c>
      <c r="E64" s="386">
        <f t="shared" si="7"/>
        <v>0.72</v>
      </c>
      <c r="F64" s="386">
        <f t="shared" si="8"/>
        <v>1.01</v>
      </c>
      <c r="G64" s="386">
        <f t="shared" si="9"/>
        <v>1.44</v>
      </c>
      <c r="H64" s="386">
        <f t="shared" si="10"/>
        <v>1.9</v>
      </c>
      <c r="I64" s="236" t="str">
        <f>IF(J64=$C$89,"Tabla 201 del IFN3 y Anexo 2 (Coníferas) IFN1 (1)",IF(J64=$C$90,"Tabla 201 del IFN3 y Anexo 2 (frondosas) IFN1 (2)",IF(J64=$C$91,"Tablas producción Madrigal (3)","")))</f>
        <v>Tabla 201 del IFN3 y Anexo 2 (frondosas) IFN1 (2)</v>
      </c>
      <c r="J64" s="230" t="s">
        <v>347</v>
      </c>
      <c r="T64" s="495" t="s">
        <v>110</v>
      </c>
      <c r="U64" s="495"/>
      <c r="V64" s="495">
        <v>0.20654286732427818</v>
      </c>
      <c r="W64" s="495">
        <v>0.45940713286933604</v>
      </c>
      <c r="X64" s="495">
        <v>0.67165279962424007</v>
      </c>
      <c r="Y64" s="495">
        <v>0.92277386354672075</v>
      </c>
      <c r="Z64" s="495">
        <v>1.2630946245650829</v>
      </c>
      <c r="AA64" s="495"/>
    </row>
    <row r="65" spans="2:27" ht="15.75" customHeight="1" x14ac:dyDescent="0.3">
      <c r="B65" s="770" t="s">
        <v>209</v>
      </c>
      <c r="C65" s="771"/>
      <c r="D65" s="386">
        <f t="shared" si="6"/>
        <v>0.34</v>
      </c>
      <c r="E65" s="386">
        <f t="shared" si="7"/>
        <v>0.81</v>
      </c>
      <c r="F65" s="386">
        <f t="shared" si="8"/>
        <v>1.18</v>
      </c>
      <c r="G65" s="386">
        <f t="shared" si="9"/>
        <v>1.55</v>
      </c>
      <c r="H65" s="386">
        <f t="shared" si="10"/>
        <v>2.02</v>
      </c>
      <c r="I65" s="236" t="str">
        <f>IF(J65=$C$89,"Tabla 201 del IFN3 y Anexo 2 (Coníferas) IFN1 (1)",IF(J65=$C$90,"Tabla 201 del IFN3 y Anexo 2 (frondosas) IFN1 (2)",IF(J65=$C$91,"Tablas producción Madrigal (3)","")))</f>
        <v>Tabla 201 del IFN3 y Anexo 2 (frondosas) IFN1 (2)</v>
      </c>
      <c r="J65" s="230" t="s">
        <v>347</v>
      </c>
      <c r="T65" s="495" t="s">
        <v>52</v>
      </c>
      <c r="U65" s="495"/>
      <c r="V65" s="495">
        <v>0.28554224648832599</v>
      </c>
      <c r="W65" s="495">
        <v>0.72002933854517226</v>
      </c>
      <c r="X65" s="495">
        <v>1.0064449533150317</v>
      </c>
      <c r="Y65" s="495">
        <v>1.44499968749023</v>
      </c>
      <c r="Z65" s="495">
        <v>1.8956012546262551</v>
      </c>
      <c r="AA65" s="495"/>
    </row>
    <row r="66" spans="2:27" ht="15.75" customHeight="1" x14ac:dyDescent="0.3">
      <c r="B66" s="770" t="s">
        <v>54</v>
      </c>
      <c r="C66" s="771"/>
      <c r="D66" s="386">
        <f t="shared" si="6"/>
        <v>0.15</v>
      </c>
      <c r="E66" s="386">
        <f t="shared" si="7"/>
        <v>0.19</v>
      </c>
      <c r="F66" s="386">
        <f t="shared" si="8"/>
        <v>0.22</v>
      </c>
      <c r="G66" s="386">
        <f t="shared" si="9"/>
        <v>0.26</v>
      </c>
      <c r="H66" s="386">
        <f t="shared" si="10"/>
        <v>0.3</v>
      </c>
      <c r="I66" s="236" t="s">
        <v>358</v>
      </c>
      <c r="J66" s="230" t="s">
        <v>347</v>
      </c>
      <c r="T66" s="495" t="s">
        <v>209</v>
      </c>
      <c r="U66" s="495"/>
      <c r="V66" s="495">
        <v>0.33838309337864286</v>
      </c>
      <c r="W66" s="495">
        <v>0.80520818838555264</v>
      </c>
      <c r="X66" s="495">
        <v>1.1774018251252529</v>
      </c>
      <c r="Y66" s="495">
        <v>1.5544798963783533</v>
      </c>
      <c r="Z66" s="495">
        <v>2.0237169627228608</v>
      </c>
      <c r="AA66" s="495"/>
    </row>
    <row r="67" spans="2:27" ht="15.75" customHeight="1" x14ac:dyDescent="0.3">
      <c r="B67" s="770" t="s">
        <v>210</v>
      </c>
      <c r="C67" s="771"/>
      <c r="D67" s="386">
        <f t="shared" si="6"/>
        <v>0.35</v>
      </c>
      <c r="E67" s="386">
        <f t="shared" si="7"/>
        <v>0.63</v>
      </c>
      <c r="F67" s="386">
        <f t="shared" si="8"/>
        <v>1.3</v>
      </c>
      <c r="G67" s="386">
        <f t="shared" si="9"/>
        <v>2.88</v>
      </c>
      <c r="H67" s="386">
        <f t="shared" si="10"/>
        <v>3.4</v>
      </c>
      <c r="I67" s="236" t="str">
        <f>IF(J67=$C$89,"Tabla 201 del IFN3 y Anexo 2 (Coníferas) IFN1 (1)",IF(J67=$C$90,"Tabla 201 del IFN3 y Anexo 2 (frondosas) IFN1 (2)",IF(J67=$C$91,"Tablas producción Madrigal (3)","")))</f>
        <v>Tabla 201 del IFN3 y Anexo 2 (Coníferas) IFN1 (1)</v>
      </c>
      <c r="J67" s="230" t="s">
        <v>346</v>
      </c>
      <c r="T67" s="495" t="s">
        <v>54</v>
      </c>
      <c r="U67" s="495"/>
      <c r="V67" s="495">
        <v>0.14975536130234138</v>
      </c>
      <c r="W67" s="495">
        <v>0.18719420162792669</v>
      </c>
      <c r="X67" s="495">
        <v>0.22463304195351205</v>
      </c>
      <c r="Y67" s="495">
        <v>0.26207188227909739</v>
      </c>
      <c r="Z67" s="495">
        <v>0.29951072260468276</v>
      </c>
      <c r="AA67" s="495"/>
    </row>
    <row r="68" spans="2:27" ht="15.75" customHeight="1" x14ac:dyDescent="0.3">
      <c r="B68" s="770" t="s">
        <v>55</v>
      </c>
      <c r="C68" s="771"/>
      <c r="D68" s="386">
        <f t="shared" si="6"/>
        <v>0.15</v>
      </c>
      <c r="E68" s="386">
        <f t="shared" si="7"/>
        <v>0.19</v>
      </c>
      <c r="F68" s="386">
        <f t="shared" si="8"/>
        <v>0.22</v>
      </c>
      <c r="G68" s="386">
        <f t="shared" si="9"/>
        <v>0.26</v>
      </c>
      <c r="H68" s="386">
        <f t="shared" si="10"/>
        <v>0.3</v>
      </c>
      <c r="I68" s="236" t="s">
        <v>358</v>
      </c>
      <c r="J68" s="230" t="s">
        <v>347</v>
      </c>
      <c r="T68" s="495" t="s">
        <v>210</v>
      </c>
      <c r="U68" s="495"/>
      <c r="V68" s="495">
        <v>0.34624258854033912</v>
      </c>
      <c r="W68" s="495">
        <v>0.63416449134559993</v>
      </c>
      <c r="X68" s="495">
        <v>1.2964681323565146</v>
      </c>
      <c r="Y68" s="495">
        <v>2.8776869027198626</v>
      </c>
      <c r="Z68" s="495">
        <v>3.4048640619376549</v>
      </c>
      <c r="AA68" s="495"/>
    </row>
    <row r="69" spans="2:27" ht="15.75" customHeight="1" x14ac:dyDescent="0.3">
      <c r="B69" s="770" t="s">
        <v>180</v>
      </c>
      <c r="C69" s="771"/>
      <c r="D69" s="386">
        <f t="shared" si="6"/>
        <v>0.05</v>
      </c>
      <c r="E69" s="386">
        <f t="shared" si="7"/>
        <v>0.06</v>
      </c>
      <c r="F69" s="386">
        <f t="shared" si="8"/>
        <v>0.13</v>
      </c>
      <c r="G69" s="386">
        <f t="shared" si="9"/>
        <v>0.15</v>
      </c>
      <c r="H69" s="386">
        <f t="shared" si="10"/>
        <v>0.17</v>
      </c>
      <c r="I69" s="236" t="str">
        <f t="shared" ref="I69:I76" si="12">IF(J69=$C$89,"Tabla 201 del IFN3 y Anexo 2 (Coníferas) IFN1 (1)",IF(J69=$C$90,"Tabla 201 del IFN3 y Anexo 2 (frondosas) IFN1 (2)",IF(J69=$C$91,"Tablas producción Madrigal (3)","")))</f>
        <v>Tabla 201 del IFN3 y Anexo 2 (frondosas) IFN1 (2)</v>
      </c>
      <c r="J69" s="230" t="s">
        <v>347</v>
      </c>
      <c r="T69" s="495" t="s">
        <v>55</v>
      </c>
      <c r="U69" s="495"/>
      <c r="V69" s="495">
        <v>0.14975536130234138</v>
      </c>
      <c r="W69" s="495">
        <v>0.18719420162792669</v>
      </c>
      <c r="X69" s="495">
        <v>0.22463304195351205</v>
      </c>
      <c r="Y69" s="495">
        <v>0.26207188227909739</v>
      </c>
      <c r="Z69" s="495">
        <v>0.29951072260468276</v>
      </c>
      <c r="AA69" s="495"/>
    </row>
    <row r="70" spans="2:27" ht="15.75" customHeight="1" x14ac:dyDescent="0.3">
      <c r="B70" s="768" t="s">
        <v>57</v>
      </c>
      <c r="C70" s="769"/>
      <c r="D70" s="386">
        <f t="shared" ref="D70:D87" si="13">ROUND(V71,2)</f>
        <v>0.04</v>
      </c>
      <c r="E70" s="386">
        <f t="shared" ref="E70:E87" si="14">ROUND(W71,2)</f>
        <v>0.05</v>
      </c>
      <c r="F70" s="386">
        <f t="shared" ref="F70:F87" si="15">ROUND(X71,2)</f>
        <v>0.1</v>
      </c>
      <c r="G70" s="386">
        <f t="shared" ref="G70:G87" si="16">ROUND(Y71,2)</f>
        <v>0.11</v>
      </c>
      <c r="H70" s="386">
        <f t="shared" ref="H70:H87" si="17">ROUND(Z71,2)</f>
        <v>0.13</v>
      </c>
      <c r="I70" s="236" t="str">
        <f t="shared" si="12"/>
        <v>Tabla 201 del IFN3 y Anexo 2 (frondosas) IFN1 (2)</v>
      </c>
      <c r="J70" s="230" t="s">
        <v>347</v>
      </c>
      <c r="T70" s="495" t="s">
        <v>180</v>
      </c>
      <c r="U70" s="495"/>
      <c r="V70" s="495">
        <v>4.8828839094095237E-2</v>
      </c>
      <c r="W70" s="495">
        <v>6.1036048867619055E-2</v>
      </c>
      <c r="X70" s="495">
        <v>0.12721465554673028</v>
      </c>
      <c r="Y70" s="495">
        <v>0.148417098137852</v>
      </c>
      <c r="Z70" s="495">
        <v>0.16961954072897373</v>
      </c>
      <c r="AA70" s="495"/>
    </row>
    <row r="71" spans="2:27" ht="15.75" customHeight="1" x14ac:dyDescent="0.3">
      <c r="B71" s="770" t="s">
        <v>58</v>
      </c>
      <c r="C71" s="771"/>
      <c r="D71" s="386">
        <f t="shared" si="13"/>
        <v>0.05</v>
      </c>
      <c r="E71" s="386">
        <f t="shared" si="14"/>
        <v>0.06</v>
      </c>
      <c r="F71" s="386">
        <f t="shared" si="15"/>
        <v>7.0000000000000007E-2</v>
      </c>
      <c r="G71" s="386">
        <f t="shared" si="16"/>
        <v>0.08</v>
      </c>
      <c r="H71" s="386">
        <f t="shared" si="17"/>
        <v>0.1</v>
      </c>
      <c r="I71" s="236" t="s">
        <v>487</v>
      </c>
      <c r="J71" s="230" t="s">
        <v>347</v>
      </c>
      <c r="T71" s="495" t="s">
        <v>57</v>
      </c>
      <c r="U71" s="495"/>
      <c r="V71" s="495">
        <v>4.1003485800888813E-2</v>
      </c>
      <c r="W71" s="495">
        <v>5.1254357251111014E-2</v>
      </c>
      <c r="X71" s="495">
        <v>9.7556673966789992E-2</v>
      </c>
      <c r="Y71" s="495">
        <v>0.11381611962792167</v>
      </c>
      <c r="Z71" s="495">
        <v>0.13007556528905334</v>
      </c>
      <c r="AA71" s="495"/>
    </row>
    <row r="72" spans="2:27" ht="15.75" customHeight="1" x14ac:dyDescent="0.3">
      <c r="B72" s="768" t="s">
        <v>59</v>
      </c>
      <c r="C72" s="769"/>
      <c r="D72" s="386">
        <f t="shared" si="13"/>
        <v>0.06</v>
      </c>
      <c r="E72" s="386">
        <f t="shared" si="14"/>
        <v>7.0000000000000007E-2</v>
      </c>
      <c r="F72" s="386">
        <f t="shared" si="15"/>
        <v>0.18</v>
      </c>
      <c r="G72" s="386">
        <f t="shared" si="16"/>
        <v>0.21</v>
      </c>
      <c r="H72" s="386">
        <f t="shared" si="17"/>
        <v>0.24</v>
      </c>
      <c r="I72" s="236" t="str">
        <f t="shared" si="12"/>
        <v>Tabla 201 del IFN3 y Anexo 2 (frondosas) IFN1 (2)</v>
      </c>
      <c r="J72" s="230" t="s">
        <v>347</v>
      </c>
      <c r="T72" s="495" t="s">
        <v>58</v>
      </c>
      <c r="U72" s="495"/>
      <c r="V72" s="495">
        <v>4.8090381579979975E-2</v>
      </c>
      <c r="W72" s="495">
        <v>6.0112976974974974E-2</v>
      </c>
      <c r="X72" s="495">
        <v>7.2135572369969952E-2</v>
      </c>
      <c r="Y72" s="495">
        <v>8.4158167764964945E-2</v>
      </c>
      <c r="Z72" s="495">
        <v>9.6180763159959951E-2</v>
      </c>
      <c r="AA72" s="495"/>
    </row>
    <row r="73" spans="2:27" ht="15.75" customHeight="1" x14ac:dyDescent="0.3">
      <c r="B73" s="770" t="s">
        <v>354</v>
      </c>
      <c r="C73" s="771"/>
      <c r="D73" s="386">
        <f t="shared" si="13"/>
        <v>7.0000000000000007E-2</v>
      </c>
      <c r="E73" s="386">
        <f t="shared" si="14"/>
        <v>0.12</v>
      </c>
      <c r="F73" s="386">
        <f t="shared" si="15"/>
        <v>0.15</v>
      </c>
      <c r="G73" s="386">
        <f t="shared" si="16"/>
        <v>0.23</v>
      </c>
      <c r="H73" s="386">
        <f t="shared" si="17"/>
        <v>0.26</v>
      </c>
      <c r="I73" s="236" t="str">
        <f t="shared" si="12"/>
        <v>Tabla 201 del IFN3 y Anexo 2 (frondosas) IFN1 (2)</v>
      </c>
      <c r="J73" s="230" t="s">
        <v>347</v>
      </c>
      <c r="T73" s="495" t="s">
        <v>59</v>
      </c>
      <c r="U73" s="495"/>
      <c r="V73" s="495">
        <v>5.5638922658708602E-2</v>
      </c>
      <c r="W73" s="495">
        <v>6.9548653323385751E-2</v>
      </c>
      <c r="X73" s="495">
        <v>0.17900063987112114</v>
      </c>
      <c r="Y73" s="495">
        <v>0.20883407984964134</v>
      </c>
      <c r="Z73" s="495">
        <v>0.23866751982816153</v>
      </c>
      <c r="AA73" s="495"/>
    </row>
    <row r="74" spans="2:27" ht="15.75" customHeight="1" x14ac:dyDescent="0.3">
      <c r="B74" s="768" t="s">
        <v>61</v>
      </c>
      <c r="C74" s="769"/>
      <c r="D74" s="386">
        <f t="shared" si="13"/>
        <v>0.05</v>
      </c>
      <c r="E74" s="386">
        <f t="shared" si="14"/>
        <v>7.0000000000000007E-2</v>
      </c>
      <c r="F74" s="386">
        <f t="shared" si="15"/>
        <v>0.15</v>
      </c>
      <c r="G74" s="386">
        <f t="shared" si="16"/>
        <v>0.17</v>
      </c>
      <c r="H74" s="386">
        <f t="shared" si="17"/>
        <v>0.2</v>
      </c>
      <c r="I74" s="236" t="str">
        <f t="shared" si="12"/>
        <v>Tabla 201 del IFN3 y Anexo 2 (frondosas) IFN1 (2)</v>
      </c>
      <c r="J74" s="230" t="s">
        <v>347</v>
      </c>
      <c r="T74" s="495" t="s">
        <v>354</v>
      </c>
      <c r="U74" s="495"/>
      <c r="V74" s="495">
        <v>6.8552185747233832E-2</v>
      </c>
      <c r="W74" s="495">
        <v>0.12296494917176243</v>
      </c>
      <c r="X74" s="495">
        <v>0.14755793900611491</v>
      </c>
      <c r="Y74" s="495">
        <v>0.23083478214715636</v>
      </c>
      <c r="Z74" s="495">
        <v>0.26381117959675016</v>
      </c>
      <c r="AA74" s="495"/>
    </row>
    <row r="75" spans="2:27" ht="15.75" customHeight="1" x14ac:dyDescent="0.3">
      <c r="B75" s="768" t="s">
        <v>62</v>
      </c>
      <c r="C75" s="769"/>
      <c r="D75" s="386">
        <f t="shared" si="13"/>
        <v>7.0000000000000007E-2</v>
      </c>
      <c r="E75" s="386">
        <f t="shared" si="14"/>
        <v>0.16</v>
      </c>
      <c r="F75" s="386">
        <f t="shared" si="15"/>
        <v>0.19</v>
      </c>
      <c r="G75" s="386">
        <f t="shared" si="16"/>
        <v>0.22</v>
      </c>
      <c r="H75" s="386">
        <f t="shared" si="17"/>
        <v>0.34</v>
      </c>
      <c r="I75" s="236" t="str">
        <f t="shared" si="12"/>
        <v>Tabla 201 del IFN3 y Anexo 2 (frondosas) IFN1 (2)</v>
      </c>
      <c r="J75" s="230" t="s">
        <v>347</v>
      </c>
      <c r="T75" s="495" t="s">
        <v>61</v>
      </c>
      <c r="U75" s="495"/>
      <c r="V75" s="495">
        <v>5.3290218724743897E-2</v>
      </c>
      <c r="W75" s="495">
        <v>6.6612773405929887E-2</v>
      </c>
      <c r="X75" s="495">
        <v>0.14793193211471187</v>
      </c>
      <c r="Y75" s="495">
        <v>0.17258725413383053</v>
      </c>
      <c r="Z75" s="495">
        <v>0.19724257615294916</v>
      </c>
      <c r="AA75" s="495"/>
    </row>
    <row r="76" spans="2:27" ht="15.75" customHeight="1" x14ac:dyDescent="0.3">
      <c r="B76" s="770" t="s">
        <v>98</v>
      </c>
      <c r="C76" s="771"/>
      <c r="D76" s="386">
        <f t="shared" si="13"/>
        <v>7.0000000000000007E-2</v>
      </c>
      <c r="E76" s="386">
        <f t="shared" si="14"/>
        <v>0.18</v>
      </c>
      <c r="F76" s="386">
        <f t="shared" si="15"/>
        <v>0.22</v>
      </c>
      <c r="G76" s="386">
        <f t="shared" si="16"/>
        <v>0.35</v>
      </c>
      <c r="H76" s="386">
        <f t="shared" si="17"/>
        <v>0.4</v>
      </c>
      <c r="I76" s="236" t="str">
        <f t="shared" si="12"/>
        <v>Tabla 201 del IFN3 y Anexo 2 (frondosas) IFN1 (2)</v>
      </c>
      <c r="J76" s="230" t="s">
        <v>347</v>
      </c>
      <c r="T76" s="495" t="s">
        <v>62</v>
      </c>
      <c r="U76" s="495"/>
      <c r="V76" s="495">
        <v>7.0712917709178133E-2</v>
      </c>
      <c r="W76" s="495">
        <v>0.16039138980188405</v>
      </c>
      <c r="X76" s="495">
        <v>0.1924696677622609</v>
      </c>
      <c r="Y76" s="495">
        <v>0.2245479457226377</v>
      </c>
      <c r="Z76" s="495">
        <v>0.3391470055560048</v>
      </c>
      <c r="AA76" s="495"/>
    </row>
    <row r="77" spans="2:27" ht="15.75" customHeight="1" x14ac:dyDescent="0.3">
      <c r="B77" s="770" t="s">
        <v>106</v>
      </c>
      <c r="C77" s="771"/>
      <c r="D77" s="386">
        <f t="shared" si="13"/>
        <v>7.0000000000000007E-2</v>
      </c>
      <c r="E77" s="386">
        <f t="shared" si="14"/>
        <v>0.09</v>
      </c>
      <c r="F77" s="386">
        <f t="shared" si="15"/>
        <v>0.11</v>
      </c>
      <c r="G77" s="386">
        <f t="shared" si="16"/>
        <v>0.13</v>
      </c>
      <c r="H77" s="386">
        <f t="shared" si="17"/>
        <v>0.15</v>
      </c>
      <c r="I77" s="236" t="s">
        <v>487</v>
      </c>
      <c r="J77" s="230" t="s">
        <v>347</v>
      </c>
      <c r="T77" s="495" t="s">
        <v>98</v>
      </c>
      <c r="U77" s="495"/>
      <c r="V77" s="495">
        <v>7.2189347795831374E-2</v>
      </c>
      <c r="W77" s="495">
        <v>0.18461714815369659</v>
      </c>
      <c r="X77" s="495">
        <v>0.22154057778443589</v>
      </c>
      <c r="Y77" s="495">
        <v>0.34725191193922511</v>
      </c>
      <c r="Z77" s="495">
        <v>0.39685932793054296</v>
      </c>
      <c r="AA77" s="495"/>
    </row>
    <row r="78" spans="2:27" ht="15.75" customHeight="1" x14ac:dyDescent="0.3">
      <c r="B78" s="770" t="s">
        <v>63</v>
      </c>
      <c r="C78" s="771"/>
      <c r="D78" s="386">
        <f t="shared" si="13"/>
        <v>0.04</v>
      </c>
      <c r="E78" s="386">
        <f t="shared" si="14"/>
        <v>0.11</v>
      </c>
      <c r="F78" s="386">
        <f t="shared" si="15"/>
        <v>0.21</v>
      </c>
      <c r="G78" s="386">
        <f t="shared" si="16"/>
        <v>0.35</v>
      </c>
      <c r="H78" s="386">
        <f t="shared" si="17"/>
        <v>0.4</v>
      </c>
      <c r="I78" s="236" t="s">
        <v>358</v>
      </c>
      <c r="J78" s="231"/>
      <c r="T78" s="495" t="s">
        <v>106</v>
      </c>
      <c r="U78" s="495"/>
      <c r="V78" s="495">
        <v>7.411115835844527E-2</v>
      </c>
      <c r="W78" s="495">
        <v>9.2638947948056591E-2</v>
      </c>
      <c r="X78" s="495">
        <v>0.11116673753766791</v>
      </c>
      <c r="Y78" s="495">
        <v>0.12969452712727922</v>
      </c>
      <c r="Z78" s="495">
        <v>0.14822231671689054</v>
      </c>
      <c r="AA78" s="495"/>
    </row>
    <row r="79" spans="2:27" ht="15.75" customHeight="1" x14ac:dyDescent="0.3">
      <c r="B79" s="770" t="s">
        <v>64</v>
      </c>
      <c r="C79" s="771"/>
      <c r="D79" s="386">
        <f t="shared" si="13"/>
        <v>0.06</v>
      </c>
      <c r="E79" s="386">
        <f t="shared" si="14"/>
        <v>0.16</v>
      </c>
      <c r="F79" s="386">
        <f t="shared" si="15"/>
        <v>0.19</v>
      </c>
      <c r="G79" s="386">
        <f t="shared" si="16"/>
        <v>0.34</v>
      </c>
      <c r="H79" s="386">
        <f t="shared" si="17"/>
        <v>0.39</v>
      </c>
      <c r="I79" s="236" t="str">
        <f>IF(J79=$C$89,"Tabla 201 del IFN3 y Anexo 2 (Coníferas) IFN1 (1)",IF(J79=$C$90,"Tabla 201 del IFN3 y Anexo 2 (frondosas) IFN1 (2)",IF(J79=$C$91,"Tablas producción Madrigal (3)","")))</f>
        <v>Tabla 201 del IFN3 y Anexo 2 (frondosas) IFN1 (2)</v>
      </c>
      <c r="J79" s="230" t="s">
        <v>347</v>
      </c>
      <c r="T79" s="495" t="s">
        <v>63</v>
      </c>
      <c r="U79" s="495"/>
      <c r="V79" s="495">
        <v>4.2905184381875593E-2</v>
      </c>
      <c r="W79" s="495">
        <v>0.11203292161465764</v>
      </c>
      <c r="X79" s="495">
        <v>0.20516585167863827</v>
      </c>
      <c r="Y79" s="495">
        <v>0.34790001540782683</v>
      </c>
      <c r="Z79" s="495">
        <v>0.39760001760894487</v>
      </c>
      <c r="AA79" s="495"/>
    </row>
    <row r="80" spans="2:27" ht="15.75" customHeight="1" x14ac:dyDescent="0.3">
      <c r="B80" s="770" t="s">
        <v>211</v>
      </c>
      <c r="C80" s="771"/>
      <c r="D80" s="386">
        <f t="shared" si="13"/>
        <v>0.31</v>
      </c>
      <c r="E80" s="386">
        <f t="shared" si="14"/>
        <v>0.56999999999999995</v>
      </c>
      <c r="F80" s="386">
        <f t="shared" si="15"/>
        <v>0.9</v>
      </c>
      <c r="G80" s="386">
        <f t="shared" si="16"/>
        <v>1.24</v>
      </c>
      <c r="H80" s="386">
        <f t="shared" si="17"/>
        <v>1.37</v>
      </c>
      <c r="I80" s="236" t="str">
        <f>IF(J80=$C$89,"Tabla 201 del IFN3 y Anexo 2 (Coníferas) IFN1 (1)",IF(J80=$C$90,"Tabla 201 del IFN3 y Anexo 2 (frondosas) IFN1 (2)",IF(J80=$C$91,"Tablas producción Madrigal (3)","")))</f>
        <v>Tabla 201 del IFN3 y Anexo 2 (frondosas) IFN1 (2)</v>
      </c>
      <c r="J80" s="230" t="s">
        <v>347</v>
      </c>
      <c r="T80" s="495" t="s">
        <v>64</v>
      </c>
      <c r="U80" s="495"/>
      <c r="V80" s="495">
        <v>6.0069243142107612E-2</v>
      </c>
      <c r="W80" s="495">
        <v>0.15928794784284833</v>
      </c>
      <c r="X80" s="495">
        <v>0.19114553741141802</v>
      </c>
      <c r="Y80" s="495">
        <v>0.34409212823611068</v>
      </c>
      <c r="Z80" s="495">
        <v>0.39324814655555496</v>
      </c>
      <c r="AA80" s="495"/>
    </row>
    <row r="81" spans="1:27" ht="15.75" customHeight="1" x14ac:dyDescent="0.3">
      <c r="B81" s="770" t="s">
        <v>67</v>
      </c>
      <c r="C81" s="771"/>
      <c r="D81" s="386">
        <f t="shared" si="13"/>
        <v>0.17</v>
      </c>
      <c r="E81" s="386">
        <f t="shared" si="14"/>
        <v>0.21</v>
      </c>
      <c r="F81" s="386">
        <f t="shared" si="15"/>
        <v>0.25</v>
      </c>
      <c r="G81" s="386">
        <f t="shared" si="16"/>
        <v>0.28999999999999998</v>
      </c>
      <c r="H81" s="386">
        <f t="shared" si="17"/>
        <v>0.33</v>
      </c>
      <c r="I81" s="236" t="str">
        <f>IF(J81=$C$89,"Tabla 201 del IFN3 y Anexo 2 (Coníferas) IFN1 (1)",IF(J81=$C$90,"Tabla 201 del IFN3 y Anexo 2 (frondosas) IFN1 (2)",IF(J81=$C$91,"Tablas producción Madrigal (3)","")))</f>
        <v>Tabla 201 del IFN3 y Anexo 2 (frondosas) IFN1 (2)</v>
      </c>
      <c r="J81" s="230" t="s">
        <v>347</v>
      </c>
      <c r="T81" s="495" t="s">
        <v>211</v>
      </c>
      <c r="U81" s="495"/>
      <c r="V81" s="495">
        <v>0.3086707442568718</v>
      </c>
      <c r="W81" s="495">
        <v>0.57498705887181834</v>
      </c>
      <c r="X81" s="495">
        <v>0.89565940633103525</v>
      </c>
      <c r="Y81" s="495">
        <v>1.2444439508529392</v>
      </c>
      <c r="Z81" s="495">
        <v>1.3659285306119766</v>
      </c>
      <c r="AA81" s="495"/>
    </row>
    <row r="82" spans="1:27" ht="15.75" customHeight="1" x14ac:dyDescent="0.3">
      <c r="B82" s="770" t="s">
        <v>212</v>
      </c>
      <c r="C82" s="771"/>
      <c r="D82" s="386">
        <f t="shared" si="13"/>
        <v>0.03</v>
      </c>
      <c r="E82" s="386">
        <f t="shared" si="14"/>
        <v>7.0000000000000007E-2</v>
      </c>
      <c r="F82" s="386">
        <f t="shared" si="15"/>
        <v>0.08</v>
      </c>
      <c r="G82" s="386">
        <f t="shared" si="16"/>
        <v>0.14000000000000001</v>
      </c>
      <c r="H82" s="386">
        <f t="shared" si="17"/>
        <v>0.16</v>
      </c>
      <c r="I82" s="236" t="str">
        <f>IF(J82=$C$89,"Tabla 201 del IFN3 y Anexo 2 (Coníferas) IFN1 (1)",IF(J82=$C$90,"Tabla 201 del IFN3 y Anexo 2 (frondosas) IFN1 (2)",IF(J82=$C$91,"Tablas producción Madrigal (3)","")))</f>
        <v>Tabla 201 del IFN3 y Anexo 2 (frondosas) IFN1 (2)</v>
      </c>
      <c r="J82" s="230" t="s">
        <v>347</v>
      </c>
      <c r="T82" s="495" t="s">
        <v>67</v>
      </c>
      <c r="U82" s="495"/>
      <c r="V82" s="495">
        <v>0.16514543481629892</v>
      </c>
      <c r="W82" s="495">
        <v>0.20643179352037366</v>
      </c>
      <c r="X82" s="495">
        <v>0.24771815222444837</v>
      </c>
      <c r="Y82" s="495">
        <v>0.28900451092852308</v>
      </c>
      <c r="Z82" s="495">
        <v>0.33029086963259785</v>
      </c>
      <c r="AA82" s="495"/>
    </row>
    <row r="83" spans="1:27" ht="15.75" customHeight="1" x14ac:dyDescent="0.3">
      <c r="B83" s="770" t="s">
        <v>69</v>
      </c>
      <c r="C83" s="771"/>
      <c r="D83" s="386">
        <f t="shared" si="13"/>
        <v>0.03</v>
      </c>
      <c r="E83" s="386">
        <f t="shared" si="14"/>
        <v>0.05</v>
      </c>
      <c r="F83" s="386">
        <f t="shared" si="15"/>
        <v>0.06</v>
      </c>
      <c r="G83" s="386">
        <f t="shared" si="16"/>
        <v>0.12</v>
      </c>
      <c r="H83" s="386">
        <f t="shared" si="17"/>
        <v>0.15</v>
      </c>
      <c r="I83" s="236" t="s">
        <v>358</v>
      </c>
      <c r="J83" s="230"/>
      <c r="T83" s="495" t="s">
        <v>212</v>
      </c>
      <c r="U83" s="495"/>
      <c r="V83" s="495">
        <v>2.8664770594541707E-2</v>
      </c>
      <c r="W83" s="495">
        <v>6.6618224487514713E-2</v>
      </c>
      <c r="X83" s="495">
        <v>7.9941869385017642E-2</v>
      </c>
      <c r="Y83" s="495">
        <v>0.14012313740352317</v>
      </c>
      <c r="Z83" s="495">
        <v>0.16014072846116933</v>
      </c>
      <c r="AA83" s="495"/>
    </row>
    <row r="84" spans="1:27" ht="15.75" customHeight="1" x14ac:dyDescent="0.3">
      <c r="B84" s="770" t="s">
        <v>70</v>
      </c>
      <c r="C84" s="771"/>
      <c r="D84" s="386">
        <f t="shared" si="13"/>
        <v>0.03</v>
      </c>
      <c r="E84" s="386">
        <f t="shared" si="14"/>
        <v>7.0000000000000007E-2</v>
      </c>
      <c r="F84" s="386">
        <f t="shared" si="15"/>
        <v>0.08</v>
      </c>
      <c r="G84" s="386">
        <f t="shared" si="16"/>
        <v>0.14000000000000001</v>
      </c>
      <c r="H84" s="386">
        <f t="shared" si="17"/>
        <v>0.16</v>
      </c>
      <c r="I84" s="236" t="s">
        <v>358</v>
      </c>
      <c r="J84" s="230"/>
      <c r="T84" s="495" t="s">
        <v>69</v>
      </c>
      <c r="U84" s="495"/>
      <c r="V84" s="495">
        <v>3.1829804580021943E-2</v>
      </c>
      <c r="W84" s="495">
        <v>4.8315700463393098E-2</v>
      </c>
      <c r="X84" s="495">
        <v>5.797884055607172E-2</v>
      </c>
      <c r="Y84" s="495">
        <v>0.11616913219309503</v>
      </c>
      <c r="Z84" s="495">
        <v>0.14741916710201577</v>
      </c>
      <c r="AA84" s="495"/>
    </row>
    <row r="85" spans="1:27" ht="15.75" customHeight="1" x14ac:dyDescent="0.3">
      <c r="B85" s="770" t="s">
        <v>71</v>
      </c>
      <c r="C85" s="771"/>
      <c r="D85" s="386">
        <f t="shared" si="13"/>
        <v>0.01</v>
      </c>
      <c r="E85" s="386">
        <f t="shared" si="14"/>
        <v>0.01</v>
      </c>
      <c r="F85" s="386">
        <f t="shared" si="15"/>
        <v>0.02</v>
      </c>
      <c r="G85" s="386">
        <f t="shared" si="16"/>
        <v>0.02</v>
      </c>
      <c r="H85" s="386">
        <f t="shared" si="17"/>
        <v>0.02</v>
      </c>
      <c r="I85" s="236" t="s">
        <v>358</v>
      </c>
      <c r="J85" s="230"/>
      <c r="T85" s="495" t="s">
        <v>70</v>
      </c>
      <c r="U85" s="495"/>
      <c r="V85" s="495">
        <v>2.8664770594541707E-2</v>
      </c>
      <c r="W85" s="495">
        <v>6.6618224487514713E-2</v>
      </c>
      <c r="X85" s="495">
        <v>7.9941869385017642E-2</v>
      </c>
      <c r="Y85" s="495">
        <v>0.14012313740352317</v>
      </c>
      <c r="Z85" s="495">
        <v>0.16014072846116933</v>
      </c>
      <c r="AA85" s="495"/>
    </row>
    <row r="86" spans="1:27" ht="15.75" customHeight="1" x14ac:dyDescent="0.3">
      <c r="B86" s="770" t="s">
        <v>72</v>
      </c>
      <c r="C86" s="771"/>
      <c r="D86" s="386">
        <f t="shared" si="13"/>
        <v>0.05</v>
      </c>
      <c r="E86" s="386">
        <f t="shared" si="14"/>
        <v>0.06</v>
      </c>
      <c r="F86" s="386">
        <f t="shared" si="15"/>
        <v>0.09</v>
      </c>
      <c r="G86" s="386">
        <f t="shared" si="16"/>
        <v>0.12</v>
      </c>
      <c r="H86" s="386">
        <f t="shared" si="17"/>
        <v>0.13</v>
      </c>
      <c r="I86" s="236" t="str">
        <f>IF(J86=$C$89,"Tabla 201 del IFN3 y Anexo 2 (Coníferas) IFN1 (1)",IF(J86=$C$90,"Tabla 201 del IFN3 y Anexo 2 (frondosas) IFN1 (2)",IF(J86=$C$91,"Tablas producción Madrigal (3)","")))</f>
        <v>Tabla 201 del IFN3 y Anexo 2 (frondosas) IFN1 (2)</v>
      </c>
      <c r="J86" s="230" t="s">
        <v>347</v>
      </c>
      <c r="T86" s="495" t="s">
        <v>71</v>
      </c>
      <c r="U86" s="495"/>
      <c r="V86" s="495">
        <v>1.138475443544619E-2</v>
      </c>
      <c r="W86" s="495">
        <v>1.4230943044307736E-2</v>
      </c>
      <c r="X86" s="495">
        <v>1.7077131653169285E-2</v>
      </c>
      <c r="Y86" s="495">
        <v>1.9923320262030829E-2</v>
      </c>
      <c r="Z86" s="495">
        <v>2.276950887089238E-2</v>
      </c>
      <c r="AA86" s="495"/>
    </row>
    <row r="87" spans="1:27" ht="15.75" customHeight="1" x14ac:dyDescent="0.3">
      <c r="B87" s="768" t="s">
        <v>73</v>
      </c>
      <c r="C87" s="769"/>
      <c r="D87" s="386">
        <f t="shared" si="13"/>
        <v>0.18</v>
      </c>
      <c r="E87" s="386">
        <f t="shared" si="14"/>
        <v>0.23</v>
      </c>
      <c r="F87" s="386">
        <f t="shared" si="15"/>
        <v>0.27</v>
      </c>
      <c r="G87" s="386">
        <f t="shared" si="16"/>
        <v>0.5</v>
      </c>
      <c r="H87" s="386">
        <f t="shared" si="17"/>
        <v>0.57999999999999996</v>
      </c>
      <c r="I87" s="236" t="str">
        <f>IF(J87=$C$89,"Tabla 201 del IFN3 y Anexo 2 (Coníferas) IFN1 (1)",IF(J87=$C$90,"Tabla 201 del IFN3 y Anexo 2 (frondosas) IFN1 (2)",IF(J87=$C$91,"Tablas producción Madrigal (3)","")))</f>
        <v>Tabla 201 del IFN3 y Anexo 2 (frondosas) IFN1 (2)</v>
      </c>
      <c r="J87" s="230" t="s">
        <v>347</v>
      </c>
      <c r="T87" s="495" t="s">
        <v>72</v>
      </c>
      <c r="U87" s="495"/>
      <c r="V87" s="495">
        <v>5.1766168756151212E-2</v>
      </c>
      <c r="W87" s="495">
        <v>6.3233838338349224E-2</v>
      </c>
      <c r="X87" s="495">
        <v>8.7489025596783121E-2</v>
      </c>
      <c r="Y87" s="495">
        <v>0.1165445654608588</v>
      </c>
      <c r="Z87" s="495">
        <v>0.13319378909812432</v>
      </c>
      <c r="AA87" s="495"/>
    </row>
    <row r="88" spans="1:27" ht="15.75" customHeight="1" x14ac:dyDescent="0.3">
      <c r="I88" s="228" t="str">
        <f>IF(J88=$C$89,"Tabla 201 del IFN3 y Anexo 2 IFN1 (Coníferas)",IF(J88=$C$90,"Tabla 201 del IFN3 y Anexo 2 IFN1 (Frondosas)",IF(J88=$C$91,"Tablas producción Madrigal","")))</f>
        <v/>
      </c>
      <c r="T88" s="495" t="s">
        <v>73</v>
      </c>
      <c r="U88" s="495"/>
      <c r="V88" s="495">
        <v>0.18032959999999998</v>
      </c>
      <c r="W88" s="495">
        <v>0.225412</v>
      </c>
      <c r="X88" s="495">
        <v>0.27049440000000002</v>
      </c>
      <c r="Y88" s="495">
        <v>0.50376480000000001</v>
      </c>
      <c r="Z88" s="495">
        <v>0.5757312</v>
      </c>
      <c r="AA88" s="495"/>
    </row>
    <row r="89" spans="1:27" ht="15.75" customHeight="1" x14ac:dyDescent="0.3">
      <c r="B89" s="233" t="s">
        <v>355</v>
      </c>
      <c r="C89" s="385" t="s">
        <v>348</v>
      </c>
      <c r="D89" s="385"/>
      <c r="E89" s="385"/>
      <c r="F89" s="385"/>
      <c r="G89" s="385"/>
      <c r="H89" s="385"/>
      <c r="I89" s="385"/>
      <c r="J89" s="385"/>
      <c r="K89" s="385"/>
      <c r="T89" s="495"/>
      <c r="U89" s="495"/>
      <c r="V89" s="495"/>
      <c r="W89" s="495"/>
      <c r="X89" s="495"/>
      <c r="Y89" s="495"/>
      <c r="Z89" s="495"/>
      <c r="AA89" s="495"/>
    </row>
    <row r="90" spans="1:27" ht="15.75" customHeight="1" x14ac:dyDescent="0.3">
      <c r="B90" s="233" t="s">
        <v>356</v>
      </c>
      <c r="C90" s="773" t="s">
        <v>347</v>
      </c>
      <c r="D90" s="773"/>
      <c r="E90" s="773"/>
      <c r="F90" s="773"/>
      <c r="G90" s="773"/>
      <c r="H90" s="773"/>
      <c r="I90" s="773"/>
      <c r="J90" s="773"/>
      <c r="K90" s="773"/>
      <c r="T90" s="495"/>
      <c r="U90" s="495"/>
      <c r="V90" s="495"/>
      <c r="W90" s="495"/>
      <c r="X90" s="495"/>
      <c r="Y90" s="495"/>
      <c r="Z90" s="495"/>
      <c r="AA90" s="495"/>
    </row>
    <row r="91" spans="1:27" ht="15.75" customHeight="1" x14ac:dyDescent="0.3">
      <c r="B91" s="233" t="s">
        <v>357</v>
      </c>
      <c r="C91" s="772" t="s">
        <v>350</v>
      </c>
      <c r="D91" s="772"/>
      <c r="E91" s="772"/>
      <c r="F91" s="772"/>
      <c r="G91" s="772"/>
      <c r="H91" s="772"/>
      <c r="I91" s="772"/>
      <c r="J91" s="772"/>
      <c r="K91" s="772"/>
      <c r="T91" s="495"/>
      <c r="U91" s="495"/>
      <c r="V91" s="495"/>
      <c r="W91" s="495"/>
      <c r="X91" s="495"/>
      <c r="Y91" s="495"/>
      <c r="Z91" s="495"/>
      <c r="AA91" s="495"/>
    </row>
    <row r="92" spans="1:27" ht="15.75" customHeight="1" x14ac:dyDescent="0.3">
      <c r="B92" s="233" t="s">
        <v>481</v>
      </c>
      <c r="C92" s="772" t="s">
        <v>522</v>
      </c>
      <c r="D92" s="772"/>
      <c r="E92" s="772"/>
      <c r="F92" s="772"/>
      <c r="G92" s="772"/>
      <c r="H92" s="772"/>
      <c r="I92" s="772"/>
      <c r="J92" s="772"/>
      <c r="K92" s="772"/>
      <c r="T92" s="495"/>
      <c r="U92" s="495"/>
      <c r="V92" s="495"/>
      <c r="W92" s="495"/>
      <c r="X92" s="495"/>
      <c r="Y92" s="495"/>
      <c r="Z92" s="495"/>
      <c r="AA92" s="495"/>
    </row>
    <row r="93" spans="1:27" ht="15.75" customHeight="1" x14ac:dyDescent="0.3">
      <c r="A93" s="239"/>
      <c r="B93" s="247"/>
      <c r="C93" s="240" t="s">
        <v>93</v>
      </c>
      <c r="D93" s="240" t="s">
        <v>374</v>
      </c>
      <c r="E93" s="240"/>
      <c r="F93" s="240"/>
      <c r="G93" s="240"/>
      <c r="H93" s="314"/>
    </row>
    <row r="94" spans="1:27" ht="15.75" customHeight="1" x14ac:dyDescent="0.3">
      <c r="A94" s="239"/>
      <c r="B94" s="247"/>
      <c r="C94" s="240" t="s">
        <v>13</v>
      </c>
      <c r="D94" s="241">
        <v>1.0935304444879886E-2</v>
      </c>
      <c r="E94" s="240"/>
      <c r="F94" s="240"/>
      <c r="G94" s="240"/>
    </row>
    <row r="95" spans="1:27" ht="15.75" customHeight="1" x14ac:dyDescent="0.3">
      <c r="A95" s="239"/>
      <c r="B95" s="247"/>
      <c r="C95" s="493" t="s">
        <v>204</v>
      </c>
      <c r="D95" s="494">
        <v>1.7077131653169285E-2</v>
      </c>
      <c r="E95" s="493"/>
      <c r="F95" s="493"/>
      <c r="G95" s="492"/>
      <c r="H95" s="491"/>
      <c r="I95" s="491"/>
      <c r="J95" s="491"/>
      <c r="K95" s="491"/>
    </row>
    <row r="96" spans="1:27" ht="15.75" customHeight="1" x14ac:dyDescent="0.3">
      <c r="A96" s="239"/>
      <c r="B96" s="247"/>
      <c r="C96" s="493" t="s">
        <v>71</v>
      </c>
      <c r="D96" s="494">
        <v>1.7077131653169285E-2</v>
      </c>
      <c r="E96" s="493"/>
      <c r="F96" s="493"/>
      <c r="G96" s="492"/>
      <c r="H96" s="491"/>
      <c r="I96" s="491"/>
      <c r="J96" s="491"/>
      <c r="K96" s="491"/>
      <c r="T96" s="491"/>
    </row>
    <row r="97" spans="1:20" ht="15.75" customHeight="1" x14ac:dyDescent="0.3">
      <c r="A97" s="239"/>
      <c r="B97" s="247"/>
      <c r="C97" s="493" t="s">
        <v>107</v>
      </c>
      <c r="D97" s="494">
        <v>2.0913561984023939E-2</v>
      </c>
      <c r="E97" s="493"/>
      <c r="F97" s="493"/>
      <c r="G97" s="492"/>
      <c r="H97" s="491"/>
      <c r="I97" s="491"/>
      <c r="J97" s="491"/>
      <c r="K97" s="491"/>
      <c r="T97" s="491"/>
    </row>
    <row r="98" spans="1:20" ht="15.75" customHeight="1" x14ac:dyDescent="0.3">
      <c r="A98" s="239"/>
      <c r="B98" s="247"/>
      <c r="C98" s="493" t="s">
        <v>24</v>
      </c>
      <c r="D98" s="494">
        <v>2.720900416725448E-2</v>
      </c>
      <c r="E98" s="493"/>
      <c r="F98" s="493"/>
      <c r="G98" s="492"/>
      <c r="H98" s="491"/>
      <c r="I98" s="491"/>
      <c r="J98" s="491"/>
      <c r="K98" s="491"/>
      <c r="T98" s="491"/>
    </row>
    <row r="99" spans="1:20" ht="15.75" customHeight="1" x14ac:dyDescent="0.3">
      <c r="A99" s="239"/>
      <c r="B99" s="247"/>
      <c r="C99" s="493" t="s">
        <v>205</v>
      </c>
      <c r="D99" s="494">
        <v>2.8283119831621666E-2</v>
      </c>
      <c r="E99" s="493"/>
      <c r="F99" s="493"/>
      <c r="G99" s="492"/>
      <c r="H99" s="491"/>
      <c r="I99" s="491"/>
      <c r="J99" s="491"/>
      <c r="K99" s="491"/>
      <c r="T99" s="491"/>
    </row>
    <row r="100" spans="1:20" ht="15.75" customHeight="1" x14ac:dyDescent="0.3">
      <c r="A100" s="239"/>
      <c r="B100" s="247"/>
      <c r="C100" s="493" t="s">
        <v>599</v>
      </c>
      <c r="D100" s="494">
        <v>3.2591421905546439E-2</v>
      </c>
      <c r="E100" s="493"/>
      <c r="F100" s="493"/>
      <c r="G100" s="492"/>
      <c r="H100" s="491"/>
      <c r="I100" s="491"/>
      <c r="J100" s="491"/>
      <c r="K100" s="491"/>
      <c r="T100" s="491"/>
    </row>
    <row r="101" spans="1:20" ht="15.75" customHeight="1" x14ac:dyDescent="0.3">
      <c r="A101" s="239"/>
      <c r="B101" s="247"/>
      <c r="C101" s="493" t="s">
        <v>600</v>
      </c>
      <c r="D101" s="494">
        <v>3.3846135427474382E-2</v>
      </c>
      <c r="E101" s="493"/>
      <c r="F101" s="493"/>
      <c r="G101" s="492"/>
      <c r="H101" s="491"/>
      <c r="I101" s="491"/>
      <c r="J101" s="491"/>
      <c r="K101" s="491"/>
      <c r="T101" s="491"/>
    </row>
    <row r="102" spans="1:20" ht="15.75" customHeight="1" x14ac:dyDescent="0.3">
      <c r="A102" s="239"/>
      <c r="B102" s="247"/>
      <c r="C102" s="493" t="s">
        <v>311</v>
      </c>
      <c r="D102" s="494">
        <v>4.7458932459961474E-2</v>
      </c>
      <c r="E102" s="493"/>
      <c r="F102" s="493"/>
      <c r="G102" s="492"/>
      <c r="H102" s="491"/>
      <c r="I102" s="491"/>
      <c r="J102" s="491"/>
      <c r="K102" s="491"/>
      <c r="T102" s="491"/>
    </row>
    <row r="103" spans="1:20" ht="15.75" customHeight="1" x14ac:dyDescent="0.3">
      <c r="A103" s="239"/>
      <c r="B103" s="247"/>
      <c r="C103" s="493" t="s">
        <v>25</v>
      </c>
      <c r="D103" s="494">
        <v>4.7807023316820692E-2</v>
      </c>
      <c r="E103" s="493"/>
      <c r="F103" s="493"/>
      <c r="G103" s="492"/>
      <c r="H103" s="491"/>
      <c r="I103" s="491"/>
      <c r="J103" s="491"/>
      <c r="K103" s="491"/>
      <c r="T103" s="491"/>
    </row>
    <row r="104" spans="1:20" ht="15.75" customHeight="1" x14ac:dyDescent="0.3">
      <c r="A104" s="239"/>
      <c r="B104" s="247"/>
      <c r="C104" s="493" t="s">
        <v>292</v>
      </c>
      <c r="D104" s="494">
        <v>5.1236545694955449E-2</v>
      </c>
      <c r="E104" s="493"/>
      <c r="F104" s="493"/>
      <c r="G104" s="492"/>
      <c r="H104" s="491"/>
      <c r="I104" s="491"/>
      <c r="J104" s="491"/>
      <c r="K104" s="491"/>
      <c r="T104" s="491"/>
    </row>
    <row r="105" spans="1:20" ht="15.75" customHeight="1" x14ac:dyDescent="0.3">
      <c r="A105" s="239"/>
      <c r="B105" s="247"/>
      <c r="C105" s="493" t="s">
        <v>26</v>
      </c>
      <c r="D105" s="494">
        <v>5.3843334831520297E-2</v>
      </c>
      <c r="E105" s="493"/>
      <c r="F105" s="493"/>
      <c r="G105" s="492"/>
      <c r="H105" s="491"/>
      <c r="I105" s="491"/>
      <c r="J105" s="491"/>
      <c r="K105" s="491"/>
      <c r="T105" s="491"/>
    </row>
    <row r="106" spans="1:20" ht="15.75" customHeight="1" x14ac:dyDescent="0.3">
      <c r="A106" s="239"/>
      <c r="B106" s="247"/>
      <c r="C106" s="493" t="s">
        <v>18</v>
      </c>
      <c r="D106" s="494">
        <v>5.797884055607172E-2</v>
      </c>
      <c r="E106" s="493"/>
      <c r="F106" s="493"/>
      <c r="G106" s="492"/>
      <c r="H106" s="491"/>
      <c r="I106" s="491"/>
      <c r="J106" s="491"/>
      <c r="K106" s="491"/>
      <c r="T106" s="491"/>
    </row>
    <row r="107" spans="1:20" ht="15.75" customHeight="1" x14ac:dyDescent="0.3">
      <c r="A107" s="239"/>
      <c r="B107" s="247"/>
      <c r="C107" s="493" t="s">
        <v>19</v>
      </c>
      <c r="D107" s="494">
        <v>5.797884055607172E-2</v>
      </c>
      <c r="E107" s="493"/>
      <c r="F107" s="493"/>
      <c r="G107" s="492"/>
      <c r="H107" s="491"/>
      <c r="I107" s="491"/>
      <c r="J107" s="491"/>
      <c r="K107" s="491"/>
      <c r="T107" s="491"/>
    </row>
    <row r="108" spans="1:20" ht="15.75" customHeight="1" x14ac:dyDescent="0.3">
      <c r="A108" s="239"/>
      <c r="B108" s="247"/>
      <c r="C108" s="493" t="s">
        <v>20</v>
      </c>
      <c r="D108" s="494">
        <v>5.797884055607172E-2</v>
      </c>
      <c r="E108" s="493"/>
      <c r="F108" s="493"/>
      <c r="G108" s="492"/>
      <c r="H108" s="491"/>
      <c r="I108" s="491"/>
      <c r="J108" s="491"/>
      <c r="K108" s="491"/>
      <c r="T108" s="491"/>
    </row>
    <row r="109" spans="1:20" ht="15.75" customHeight="1" x14ac:dyDescent="0.3">
      <c r="A109" s="239"/>
      <c r="B109" s="247"/>
      <c r="C109" s="493" t="s">
        <v>455</v>
      </c>
      <c r="D109" s="494">
        <v>5.797884055607172E-2</v>
      </c>
      <c r="E109" s="493"/>
      <c r="F109" s="493"/>
      <c r="G109" s="492"/>
      <c r="H109" s="491"/>
      <c r="I109" s="491"/>
      <c r="J109" s="491"/>
      <c r="K109" s="491"/>
      <c r="T109" s="491"/>
    </row>
    <row r="110" spans="1:20" ht="15.75" customHeight="1" x14ac:dyDescent="0.3">
      <c r="A110" s="239"/>
      <c r="B110" s="247"/>
      <c r="C110" s="493" t="s">
        <v>69</v>
      </c>
      <c r="D110" s="494">
        <v>5.797884055607172E-2</v>
      </c>
      <c r="E110" s="493"/>
      <c r="F110" s="493"/>
      <c r="G110" s="492"/>
      <c r="H110" s="491"/>
      <c r="I110" s="491"/>
      <c r="J110" s="491"/>
      <c r="K110" s="491"/>
      <c r="T110" s="491"/>
    </row>
    <row r="111" spans="1:20" ht="15.75" customHeight="1" x14ac:dyDescent="0.3">
      <c r="A111" s="239"/>
      <c r="B111" s="247"/>
      <c r="C111" s="493" t="s">
        <v>298</v>
      </c>
      <c r="D111" s="494">
        <v>6.102444982344217E-2</v>
      </c>
      <c r="E111" s="493"/>
      <c r="F111" s="493"/>
      <c r="G111" s="492"/>
      <c r="H111" s="491"/>
      <c r="I111" s="491"/>
      <c r="J111" s="491"/>
      <c r="K111" s="491"/>
      <c r="T111" s="491"/>
    </row>
    <row r="112" spans="1:20" ht="15.75" customHeight="1" x14ac:dyDescent="0.3">
      <c r="A112" s="239"/>
      <c r="B112" s="247"/>
      <c r="C112" s="493" t="s">
        <v>296</v>
      </c>
      <c r="D112" s="494">
        <v>6.545313938481151E-2</v>
      </c>
      <c r="E112" s="493"/>
      <c r="F112" s="493"/>
      <c r="G112" s="492"/>
      <c r="H112" s="491"/>
      <c r="I112" s="491"/>
      <c r="J112" s="491"/>
      <c r="K112" s="491"/>
      <c r="T112" s="491"/>
    </row>
    <row r="113" spans="1:20" ht="15.75" customHeight="1" x14ac:dyDescent="0.3">
      <c r="A113" s="239"/>
      <c r="B113" s="247"/>
      <c r="C113" s="493" t="s">
        <v>58</v>
      </c>
      <c r="D113" s="494">
        <v>7.2135572369969952E-2</v>
      </c>
      <c r="E113" s="493"/>
      <c r="F113" s="493"/>
      <c r="G113" s="492"/>
      <c r="H113" s="491"/>
      <c r="I113" s="491"/>
      <c r="J113" s="491"/>
      <c r="K113" s="491"/>
      <c r="T113" s="491"/>
    </row>
    <row r="114" spans="1:20" ht="15.75" customHeight="1" x14ac:dyDescent="0.3">
      <c r="A114" s="239"/>
      <c r="B114" s="247"/>
      <c r="C114" s="493" t="s">
        <v>212</v>
      </c>
      <c r="D114" s="494">
        <v>7.9941869385017642E-2</v>
      </c>
      <c r="E114" s="493"/>
      <c r="F114" s="493"/>
      <c r="G114" s="492"/>
      <c r="H114" s="491"/>
      <c r="I114" s="491"/>
      <c r="J114" s="491"/>
      <c r="K114" s="491"/>
      <c r="T114" s="491"/>
    </row>
    <row r="115" spans="1:20" ht="15.75" customHeight="1" x14ac:dyDescent="0.3">
      <c r="A115" s="239"/>
      <c r="B115" s="247"/>
      <c r="C115" s="493" t="s">
        <v>70</v>
      </c>
      <c r="D115" s="494">
        <v>7.9941869385017642E-2</v>
      </c>
      <c r="E115" s="493"/>
      <c r="F115" s="493"/>
      <c r="G115" s="492"/>
      <c r="H115" s="491"/>
      <c r="I115" s="491"/>
      <c r="J115" s="491"/>
      <c r="K115" s="491"/>
      <c r="T115" s="491"/>
    </row>
    <row r="116" spans="1:20" ht="15.75" customHeight="1" x14ac:dyDescent="0.3">
      <c r="A116" s="239"/>
      <c r="B116" s="247"/>
      <c r="C116" s="493" t="s">
        <v>43</v>
      </c>
      <c r="D116" s="494">
        <v>8.21892270440258E-2</v>
      </c>
      <c r="E116" s="493"/>
      <c r="F116" s="493"/>
      <c r="G116" s="492"/>
      <c r="H116" s="491"/>
      <c r="I116" s="491"/>
      <c r="J116" s="491"/>
      <c r="K116" s="491"/>
      <c r="T116" s="491"/>
    </row>
    <row r="117" spans="1:20" ht="15.75" customHeight="1" x14ac:dyDescent="0.3">
      <c r="A117" s="239"/>
      <c r="B117" s="247"/>
      <c r="C117" s="493" t="s">
        <v>186</v>
      </c>
      <c r="D117" s="494">
        <v>8.4081899478263639E-2</v>
      </c>
      <c r="E117" s="493"/>
      <c r="F117" s="493"/>
      <c r="G117" s="492"/>
      <c r="H117" s="491"/>
      <c r="I117" s="491"/>
      <c r="J117" s="491"/>
      <c r="K117" s="491"/>
      <c r="T117" s="491"/>
    </row>
    <row r="118" spans="1:20" ht="15.75" customHeight="1" x14ac:dyDescent="0.3">
      <c r="A118" s="239"/>
      <c r="B118" s="247"/>
      <c r="C118" s="493" t="s">
        <v>72</v>
      </c>
      <c r="D118" s="494">
        <v>8.7489025596783121E-2</v>
      </c>
      <c r="E118" s="493"/>
      <c r="F118" s="493"/>
      <c r="G118" s="492"/>
      <c r="H118" s="491"/>
      <c r="I118" s="491"/>
      <c r="J118" s="491"/>
      <c r="K118" s="491"/>
      <c r="T118" s="491"/>
    </row>
    <row r="119" spans="1:20" ht="15.75" customHeight="1" x14ac:dyDescent="0.3">
      <c r="A119" s="239"/>
      <c r="B119" s="247"/>
      <c r="C119" s="493" t="s">
        <v>39</v>
      </c>
      <c r="D119" s="494">
        <v>8.9359935740666363E-2</v>
      </c>
      <c r="E119" s="493"/>
      <c r="F119" s="493"/>
      <c r="G119" s="492"/>
      <c r="H119" s="491"/>
      <c r="I119" s="491"/>
      <c r="J119" s="491"/>
      <c r="K119" s="491"/>
      <c r="T119" s="491"/>
    </row>
    <row r="120" spans="1:20" ht="15.75" customHeight="1" x14ac:dyDescent="0.3">
      <c r="A120" s="239"/>
      <c r="B120" s="247"/>
      <c r="C120" s="493" t="s">
        <v>8</v>
      </c>
      <c r="D120" s="494">
        <v>8.9406775968548208E-2</v>
      </c>
      <c r="E120" s="493"/>
      <c r="F120" s="493"/>
      <c r="G120" s="492"/>
      <c r="H120" s="491"/>
      <c r="I120" s="491"/>
      <c r="J120" s="491"/>
      <c r="K120" s="491"/>
      <c r="T120" s="491"/>
    </row>
    <row r="121" spans="1:20" ht="15.75" customHeight="1" x14ac:dyDescent="0.3">
      <c r="A121" s="239"/>
      <c r="B121" s="247"/>
      <c r="C121" s="493" t="s">
        <v>49</v>
      </c>
      <c r="D121" s="494">
        <v>9.0140403287118462E-2</v>
      </c>
      <c r="E121" s="493"/>
      <c r="F121" s="493"/>
      <c r="G121" s="492"/>
      <c r="H121" s="491"/>
      <c r="I121" s="491"/>
      <c r="J121" s="491"/>
      <c r="K121" s="491"/>
      <c r="T121" s="491"/>
    </row>
    <row r="122" spans="1:20" ht="15.75" customHeight="1" x14ac:dyDescent="0.3">
      <c r="A122" s="239"/>
      <c r="B122" s="247"/>
      <c r="C122" s="493" t="s">
        <v>172</v>
      </c>
      <c r="D122" s="494">
        <v>9.2940687673763067E-2</v>
      </c>
      <c r="E122" s="493"/>
      <c r="F122" s="493"/>
      <c r="G122" s="492"/>
      <c r="H122" s="491"/>
      <c r="I122" s="491"/>
      <c r="J122" s="491"/>
      <c r="K122" s="491"/>
      <c r="T122" s="491"/>
    </row>
    <row r="123" spans="1:20" ht="15.75" customHeight="1" x14ac:dyDescent="0.3">
      <c r="A123" s="239"/>
      <c r="B123" s="247"/>
      <c r="C123" s="493" t="s">
        <v>2</v>
      </c>
      <c r="D123" s="494">
        <v>9.3417343455077906E-2</v>
      </c>
      <c r="E123" s="493"/>
      <c r="F123" s="493"/>
      <c r="G123" s="492"/>
      <c r="H123" s="491"/>
      <c r="I123" s="491"/>
      <c r="J123" s="491"/>
      <c r="K123" s="491"/>
      <c r="T123" s="491"/>
    </row>
    <row r="124" spans="1:20" ht="15.75" customHeight="1" x14ac:dyDescent="0.3">
      <c r="A124" s="239"/>
      <c r="B124" s="247"/>
      <c r="C124" s="493" t="s">
        <v>9</v>
      </c>
      <c r="D124" s="494">
        <v>9.3417343455077906E-2</v>
      </c>
      <c r="E124" s="493"/>
      <c r="F124" s="493"/>
      <c r="G124" s="492"/>
      <c r="H124" s="491"/>
      <c r="I124" s="491"/>
      <c r="J124" s="491"/>
      <c r="K124" s="491"/>
      <c r="T124" s="491"/>
    </row>
    <row r="125" spans="1:20" ht="15.75" customHeight="1" x14ac:dyDescent="0.3">
      <c r="A125" s="239"/>
      <c r="B125" s="247"/>
      <c r="C125" s="493" t="s">
        <v>3</v>
      </c>
      <c r="D125" s="494">
        <v>9.5317224174204004E-2</v>
      </c>
      <c r="E125" s="493"/>
      <c r="F125" s="493"/>
      <c r="G125" s="492"/>
      <c r="H125" s="491"/>
      <c r="I125" s="491"/>
      <c r="J125" s="491"/>
      <c r="K125" s="491"/>
      <c r="T125" s="491"/>
    </row>
    <row r="126" spans="1:20" ht="15.75" customHeight="1" x14ac:dyDescent="0.3">
      <c r="A126" s="239"/>
      <c r="B126" s="247"/>
      <c r="C126" s="493" t="s">
        <v>57</v>
      </c>
      <c r="D126" s="494">
        <v>9.7556673966789992E-2</v>
      </c>
      <c r="E126" s="493"/>
      <c r="F126" s="493"/>
      <c r="G126" s="492"/>
      <c r="H126" s="491"/>
      <c r="I126" s="491"/>
      <c r="J126" s="491"/>
      <c r="K126" s="491"/>
      <c r="T126" s="491"/>
    </row>
    <row r="127" spans="1:20" ht="15.75" customHeight="1" x14ac:dyDescent="0.3">
      <c r="A127" s="239"/>
      <c r="B127" s="247"/>
      <c r="C127" s="493" t="s">
        <v>6</v>
      </c>
      <c r="D127" s="494">
        <v>9.7156739459593647E-2</v>
      </c>
      <c r="E127" s="493"/>
      <c r="F127" s="493"/>
      <c r="G127" s="492"/>
      <c r="H127" s="491"/>
      <c r="I127" s="491"/>
      <c r="J127" s="491"/>
      <c r="K127" s="491"/>
      <c r="T127" s="491"/>
    </row>
    <row r="128" spans="1:20" ht="15.75" customHeight="1" x14ac:dyDescent="0.3">
      <c r="A128" s="239"/>
      <c r="B128" s="247"/>
      <c r="C128" s="493" t="s">
        <v>106</v>
      </c>
      <c r="D128" s="494">
        <v>0.11116673753766791</v>
      </c>
      <c r="E128" s="493"/>
      <c r="F128" s="493"/>
      <c r="G128" s="492"/>
      <c r="H128" s="491"/>
      <c r="I128" s="491"/>
      <c r="J128" s="491"/>
      <c r="K128" s="491"/>
      <c r="T128" s="491"/>
    </row>
    <row r="129" spans="1:20" ht="15.75" customHeight="1" x14ac:dyDescent="0.3">
      <c r="A129" s="239"/>
      <c r="B129" s="247"/>
      <c r="C129" s="493" t="s">
        <v>15</v>
      </c>
      <c r="D129" s="494">
        <v>0.11752830065449504</v>
      </c>
      <c r="E129" s="493"/>
      <c r="F129" s="493"/>
      <c r="G129" s="492"/>
      <c r="H129" s="491"/>
      <c r="I129" s="491"/>
      <c r="J129" s="491"/>
      <c r="K129" s="491"/>
      <c r="T129" s="491"/>
    </row>
    <row r="130" spans="1:20" ht="15.75" customHeight="1" x14ac:dyDescent="0.3">
      <c r="A130" s="239"/>
      <c r="B130" s="247"/>
      <c r="C130" s="493" t="s">
        <v>180</v>
      </c>
      <c r="D130" s="494">
        <v>0.12721465554673028</v>
      </c>
      <c r="E130" s="493"/>
      <c r="F130" s="493"/>
      <c r="G130" s="492"/>
      <c r="H130" s="491"/>
      <c r="I130" s="491"/>
      <c r="J130" s="491"/>
      <c r="K130" s="491"/>
      <c r="T130" s="491"/>
    </row>
    <row r="131" spans="1:20" ht="15.75" customHeight="1" x14ac:dyDescent="0.3">
      <c r="A131" s="239"/>
      <c r="B131" s="247"/>
      <c r="C131" s="493" t="s">
        <v>42</v>
      </c>
      <c r="D131" s="494">
        <v>0.13534900640836928</v>
      </c>
      <c r="E131" s="493"/>
      <c r="F131" s="493"/>
      <c r="G131" s="492"/>
      <c r="H131" s="491"/>
      <c r="I131" s="491"/>
      <c r="J131" s="491"/>
      <c r="K131" s="491"/>
      <c r="T131" s="491"/>
    </row>
    <row r="132" spans="1:20" ht="15.75" customHeight="1" x14ac:dyDescent="0.3">
      <c r="A132" s="239"/>
      <c r="B132" s="247"/>
      <c r="C132" s="493" t="s">
        <v>354</v>
      </c>
      <c r="D132" s="494">
        <v>0.14755793900611491</v>
      </c>
      <c r="E132" s="493"/>
      <c r="F132" s="493"/>
      <c r="G132" s="492"/>
      <c r="H132" s="491"/>
      <c r="I132" s="491"/>
      <c r="J132" s="491"/>
      <c r="K132" s="491"/>
      <c r="T132" s="491"/>
    </row>
    <row r="133" spans="1:20" ht="15.75" customHeight="1" x14ac:dyDescent="0.3">
      <c r="A133" s="239"/>
      <c r="B133" s="247"/>
      <c r="C133" s="493" t="s">
        <v>61</v>
      </c>
      <c r="D133" s="494">
        <v>0.14793193211471187</v>
      </c>
      <c r="E133" s="493"/>
      <c r="F133" s="493"/>
      <c r="G133" s="492"/>
      <c r="H133" s="491"/>
      <c r="I133" s="491"/>
      <c r="J133" s="491"/>
      <c r="K133" s="491"/>
      <c r="T133" s="491"/>
    </row>
    <row r="134" spans="1:20" ht="15.75" customHeight="1" x14ac:dyDescent="0.3">
      <c r="A134" s="239"/>
      <c r="B134" s="247"/>
      <c r="C134" s="493" t="s">
        <v>46</v>
      </c>
      <c r="D134" s="494">
        <v>0.16760700183877539</v>
      </c>
      <c r="E134" s="493"/>
      <c r="F134" s="493"/>
      <c r="G134" s="492"/>
      <c r="H134" s="491"/>
      <c r="I134" s="491"/>
      <c r="J134" s="491"/>
      <c r="K134" s="491"/>
      <c r="T134" s="491"/>
    </row>
    <row r="135" spans="1:20" ht="15.75" customHeight="1" x14ac:dyDescent="0.3">
      <c r="A135" s="239"/>
      <c r="B135" s="247"/>
      <c r="C135" s="493" t="s">
        <v>59</v>
      </c>
      <c r="D135" s="494">
        <v>0.17900063987112114</v>
      </c>
      <c r="E135" s="493"/>
      <c r="F135" s="493"/>
      <c r="G135" s="492"/>
      <c r="H135" s="491"/>
      <c r="I135" s="491"/>
      <c r="J135" s="491"/>
      <c r="K135" s="491"/>
      <c r="T135" s="491"/>
    </row>
    <row r="136" spans="1:20" ht="15.75" customHeight="1" x14ac:dyDescent="0.3">
      <c r="A136" s="239"/>
      <c r="B136" s="247"/>
      <c r="C136" s="493" t="s">
        <v>295</v>
      </c>
      <c r="D136" s="494">
        <v>0.17974273530361798</v>
      </c>
      <c r="E136" s="493"/>
      <c r="F136" s="493"/>
      <c r="G136" s="492"/>
      <c r="H136" s="491"/>
      <c r="I136" s="491"/>
      <c r="J136" s="491"/>
      <c r="K136" s="491"/>
      <c r="T136" s="491"/>
    </row>
    <row r="137" spans="1:20" ht="15.75" customHeight="1" x14ac:dyDescent="0.3">
      <c r="A137" s="239"/>
      <c r="B137" s="247"/>
      <c r="C137" s="493" t="s">
        <v>1</v>
      </c>
      <c r="D137" s="494">
        <v>0.18470565168801564</v>
      </c>
      <c r="E137" s="493"/>
      <c r="F137" s="493"/>
      <c r="G137" s="492"/>
      <c r="H137" s="491"/>
      <c r="I137" s="491"/>
      <c r="J137" s="491"/>
      <c r="K137" s="491"/>
      <c r="T137" s="491"/>
    </row>
    <row r="138" spans="1:20" ht="15.75" customHeight="1" x14ac:dyDescent="0.3">
      <c r="A138" s="239"/>
      <c r="B138" s="247"/>
      <c r="C138" s="493" t="s">
        <v>10</v>
      </c>
      <c r="D138" s="494">
        <v>0.18617723092774471</v>
      </c>
      <c r="E138" s="493"/>
      <c r="F138" s="493"/>
      <c r="G138" s="492"/>
      <c r="H138" s="491"/>
      <c r="I138" s="491"/>
      <c r="J138" s="491"/>
      <c r="K138" s="491"/>
      <c r="T138" s="491"/>
    </row>
    <row r="139" spans="1:20" ht="15.75" customHeight="1" x14ac:dyDescent="0.3">
      <c r="A139" s="239"/>
      <c r="B139" s="247"/>
      <c r="C139" s="493" t="s">
        <v>312</v>
      </c>
      <c r="D139" s="494">
        <v>0.18617723092774471</v>
      </c>
      <c r="E139" s="493"/>
      <c r="F139" s="493"/>
      <c r="G139" s="492"/>
      <c r="H139" s="491"/>
      <c r="I139" s="491"/>
      <c r="J139" s="491"/>
      <c r="K139" s="491"/>
      <c r="T139" s="491"/>
    </row>
    <row r="140" spans="1:20" ht="15.75" customHeight="1" x14ac:dyDescent="0.3">
      <c r="A140" s="239"/>
      <c r="B140" s="247"/>
      <c r="C140" s="493" t="s">
        <v>64</v>
      </c>
      <c r="D140" s="494">
        <v>0.19114553741141802</v>
      </c>
      <c r="E140" s="493"/>
      <c r="F140" s="493"/>
      <c r="G140" s="492"/>
      <c r="H140" s="491"/>
      <c r="I140" s="491"/>
      <c r="J140" s="491"/>
      <c r="K140" s="491"/>
      <c r="T140" s="491"/>
    </row>
    <row r="141" spans="1:20" ht="15.75" customHeight="1" x14ac:dyDescent="0.3">
      <c r="A141" s="239"/>
      <c r="B141" s="247"/>
      <c r="C141" s="493" t="s">
        <v>62</v>
      </c>
      <c r="D141" s="494">
        <v>0.1924696677622609</v>
      </c>
      <c r="E141" s="493"/>
      <c r="F141" s="493"/>
      <c r="G141" s="492"/>
      <c r="H141" s="491"/>
      <c r="I141" s="491"/>
      <c r="J141" s="491"/>
      <c r="K141" s="491"/>
      <c r="T141" s="491"/>
    </row>
    <row r="142" spans="1:20" ht="15.75" customHeight="1" x14ac:dyDescent="0.3">
      <c r="A142" s="239"/>
      <c r="B142" s="247"/>
      <c r="C142" s="493" t="s">
        <v>7</v>
      </c>
      <c r="D142" s="494">
        <v>0.20516585167863827</v>
      </c>
      <c r="E142" s="493"/>
      <c r="F142" s="493"/>
      <c r="G142" s="492"/>
      <c r="H142" s="491"/>
      <c r="I142" s="491"/>
      <c r="J142" s="491"/>
      <c r="K142" s="491"/>
      <c r="T142" s="491"/>
    </row>
    <row r="143" spans="1:20" ht="15.75" customHeight="1" x14ac:dyDescent="0.3">
      <c r="A143" s="239"/>
      <c r="B143" s="247"/>
      <c r="C143" s="493" t="s">
        <v>14</v>
      </c>
      <c r="D143" s="494">
        <v>0.20516585167863827</v>
      </c>
      <c r="E143" s="493"/>
      <c r="F143" s="493"/>
      <c r="G143" s="492"/>
      <c r="H143" s="491"/>
      <c r="I143" s="491"/>
      <c r="J143" s="491"/>
      <c r="K143" s="491"/>
      <c r="T143" s="491"/>
    </row>
    <row r="144" spans="1:20" ht="15.75" customHeight="1" x14ac:dyDescent="0.3">
      <c r="A144" s="239"/>
      <c r="B144" s="247"/>
      <c r="C144" s="493" t="s">
        <v>17</v>
      </c>
      <c r="D144" s="494">
        <v>0.20516585167863827</v>
      </c>
      <c r="E144" s="493"/>
      <c r="F144" s="493"/>
      <c r="G144" s="492"/>
      <c r="H144" s="491"/>
      <c r="I144" s="491"/>
      <c r="J144" s="491"/>
      <c r="K144" s="491"/>
      <c r="T144" s="491"/>
    </row>
    <row r="145" spans="1:20" ht="15.75" customHeight="1" x14ac:dyDescent="0.3">
      <c r="A145" s="239"/>
      <c r="B145" s="247"/>
      <c r="C145" s="493" t="s">
        <v>604</v>
      </c>
      <c r="D145" s="494">
        <v>0.20516585167863827</v>
      </c>
      <c r="E145" s="493"/>
      <c r="F145" s="493"/>
      <c r="G145" s="492"/>
      <c r="H145" s="491"/>
      <c r="I145" s="491"/>
      <c r="J145" s="491"/>
      <c r="K145" s="491"/>
      <c r="T145" s="491"/>
    </row>
    <row r="146" spans="1:20" ht="15.75" customHeight="1" x14ac:dyDescent="0.3">
      <c r="A146" s="239"/>
      <c r="B146" s="247"/>
      <c r="C146" s="493" t="s">
        <v>27</v>
      </c>
      <c r="D146" s="494">
        <v>0.20516585167863827</v>
      </c>
      <c r="E146" s="493"/>
      <c r="F146" s="493"/>
      <c r="G146" s="492"/>
      <c r="H146" s="491"/>
      <c r="I146" s="491"/>
      <c r="J146" s="491"/>
      <c r="K146" s="491"/>
      <c r="T146" s="491"/>
    </row>
    <row r="147" spans="1:20" ht="15.75" customHeight="1" x14ac:dyDescent="0.3">
      <c r="A147" s="239"/>
      <c r="B147" s="247"/>
      <c r="C147" s="493" t="s">
        <v>28</v>
      </c>
      <c r="D147" s="494">
        <v>0.20516585167863827</v>
      </c>
      <c r="E147" s="493"/>
      <c r="F147" s="493"/>
      <c r="G147" s="492"/>
      <c r="H147" s="491"/>
      <c r="I147" s="491"/>
      <c r="J147" s="491"/>
      <c r="K147" s="491"/>
      <c r="T147" s="491"/>
    </row>
    <row r="148" spans="1:20" ht="15.75" customHeight="1" x14ac:dyDescent="0.3">
      <c r="A148" s="239"/>
      <c r="B148" s="247"/>
      <c r="C148" s="493" t="s">
        <v>33</v>
      </c>
      <c r="D148" s="494">
        <v>0.20516585167863827</v>
      </c>
      <c r="E148" s="493"/>
      <c r="F148" s="493"/>
      <c r="G148" s="492"/>
      <c r="H148" s="491"/>
      <c r="I148" s="491"/>
      <c r="J148" s="491"/>
      <c r="K148" s="491"/>
      <c r="T148" s="491"/>
    </row>
    <row r="149" spans="1:20" ht="15.75" customHeight="1" x14ac:dyDescent="0.3">
      <c r="A149" s="239"/>
      <c r="B149" s="247"/>
      <c r="C149" s="493" t="s">
        <v>34</v>
      </c>
      <c r="D149" s="494">
        <v>0.20516585167863827</v>
      </c>
      <c r="E149" s="493"/>
      <c r="F149" s="493"/>
      <c r="G149" s="492"/>
      <c r="H149" s="491"/>
      <c r="I149" s="491"/>
      <c r="J149" s="491"/>
      <c r="K149" s="491"/>
      <c r="T149" s="491"/>
    </row>
    <row r="150" spans="1:20" ht="15.75" customHeight="1" x14ac:dyDescent="0.3">
      <c r="A150" s="239"/>
      <c r="B150" s="247"/>
      <c r="C150" s="493" t="s">
        <v>50</v>
      </c>
      <c r="D150" s="494">
        <v>0.20516585167863827</v>
      </c>
      <c r="E150" s="493"/>
      <c r="F150" s="493"/>
      <c r="G150" s="492"/>
      <c r="H150" s="491"/>
      <c r="I150" s="491"/>
      <c r="J150" s="491"/>
      <c r="K150" s="491"/>
      <c r="T150" s="491"/>
    </row>
    <row r="151" spans="1:20" ht="15.75" customHeight="1" x14ac:dyDescent="0.3">
      <c r="A151" s="239"/>
      <c r="B151" s="247"/>
      <c r="C151" s="493" t="s">
        <v>63</v>
      </c>
      <c r="D151" s="494">
        <v>0.20516585167863827</v>
      </c>
      <c r="E151" s="493"/>
      <c r="F151" s="493"/>
      <c r="G151" s="492"/>
      <c r="H151" s="491"/>
      <c r="I151" s="491"/>
      <c r="J151" s="491"/>
      <c r="K151" s="491"/>
      <c r="T151" s="491"/>
    </row>
    <row r="152" spans="1:20" ht="15.75" customHeight="1" x14ac:dyDescent="0.3">
      <c r="A152" s="239"/>
      <c r="B152" s="247"/>
      <c r="C152" s="493" t="s">
        <v>98</v>
      </c>
      <c r="D152" s="494">
        <v>0.22154057778443589</v>
      </c>
      <c r="E152" s="493"/>
      <c r="F152" s="493"/>
      <c r="G152" s="492"/>
      <c r="H152" s="491"/>
      <c r="I152" s="491"/>
      <c r="J152" s="491"/>
      <c r="K152" s="491"/>
      <c r="T152" s="491"/>
    </row>
    <row r="153" spans="1:20" ht="15.75" customHeight="1" x14ac:dyDescent="0.3">
      <c r="A153" s="239"/>
      <c r="B153" s="247"/>
      <c r="C153" s="493" t="s">
        <v>156</v>
      </c>
      <c r="D153" s="494">
        <v>0.22463304195351205</v>
      </c>
      <c r="E153" s="493"/>
      <c r="F153" s="493"/>
      <c r="G153" s="492"/>
      <c r="H153" s="491"/>
      <c r="I153" s="491"/>
      <c r="J153" s="491"/>
      <c r="K153" s="491"/>
      <c r="T153" s="491"/>
    </row>
    <row r="154" spans="1:20" ht="15.75" customHeight="1" x14ac:dyDescent="0.3">
      <c r="A154" s="239"/>
      <c r="B154" s="247"/>
      <c r="C154" s="493" t="s">
        <v>29</v>
      </c>
      <c r="D154" s="494">
        <v>0.22463304195351205</v>
      </c>
      <c r="E154" s="493"/>
      <c r="F154" s="493"/>
      <c r="G154" s="492"/>
      <c r="H154" s="491"/>
      <c r="I154" s="491"/>
      <c r="J154" s="491"/>
      <c r="K154" s="491"/>
      <c r="T154" s="491"/>
    </row>
    <row r="155" spans="1:20" ht="15.75" customHeight="1" x14ac:dyDescent="0.3">
      <c r="A155" s="239"/>
      <c r="B155" s="247"/>
      <c r="C155" s="493" t="s">
        <v>54</v>
      </c>
      <c r="D155" s="494">
        <v>0.22463304195351205</v>
      </c>
      <c r="E155" s="493"/>
      <c r="F155" s="493"/>
      <c r="G155" s="492"/>
      <c r="H155" s="491"/>
      <c r="I155" s="491"/>
      <c r="J155" s="491"/>
      <c r="K155" s="491"/>
      <c r="T155" s="491"/>
    </row>
    <row r="156" spans="1:20" ht="15.75" customHeight="1" x14ac:dyDescent="0.3">
      <c r="A156" s="239"/>
      <c r="B156" s="247"/>
      <c r="C156" s="493" t="s">
        <v>55</v>
      </c>
      <c r="D156" s="494">
        <v>0.22463304195351205</v>
      </c>
      <c r="E156" s="493"/>
      <c r="F156" s="493"/>
      <c r="G156" s="492"/>
      <c r="H156" s="491"/>
      <c r="I156" s="491"/>
      <c r="J156" s="491"/>
      <c r="K156" s="491"/>
      <c r="T156" s="491"/>
    </row>
    <row r="157" spans="1:20" ht="15.75" customHeight="1" x14ac:dyDescent="0.3">
      <c r="A157" s="239"/>
      <c r="B157" s="247"/>
      <c r="C157" s="493" t="s">
        <v>67</v>
      </c>
      <c r="D157" s="494">
        <v>0.24771815222444837</v>
      </c>
      <c r="E157" s="493"/>
      <c r="F157" s="493"/>
      <c r="G157" s="492"/>
      <c r="H157" s="491"/>
      <c r="I157" s="491"/>
      <c r="J157" s="491"/>
      <c r="K157" s="491"/>
      <c r="T157" s="491"/>
    </row>
    <row r="158" spans="1:20" ht="15.75" customHeight="1" x14ac:dyDescent="0.3">
      <c r="A158" s="239"/>
      <c r="B158" s="247"/>
      <c r="C158" s="493" t="s">
        <v>73</v>
      </c>
      <c r="D158" s="494">
        <v>0.27049440000000002</v>
      </c>
      <c r="E158" s="493"/>
      <c r="F158" s="493"/>
      <c r="G158" s="492"/>
      <c r="H158" s="491"/>
      <c r="I158" s="491"/>
      <c r="J158" s="491"/>
      <c r="K158" s="491"/>
      <c r="T158" s="491"/>
    </row>
    <row r="159" spans="1:20" ht="15.75" customHeight="1" x14ac:dyDescent="0.3">
      <c r="A159" s="239"/>
      <c r="B159" s="247"/>
      <c r="C159" s="493" t="s">
        <v>182</v>
      </c>
      <c r="D159" s="494">
        <v>0.32908645627187133</v>
      </c>
      <c r="E159" s="493"/>
      <c r="F159" s="493"/>
      <c r="G159" s="492"/>
      <c r="H159" s="491"/>
      <c r="I159" s="491"/>
      <c r="J159" s="491"/>
      <c r="K159" s="491"/>
      <c r="T159" s="491"/>
    </row>
    <row r="160" spans="1:20" ht="15.75" customHeight="1" x14ac:dyDescent="0.3">
      <c r="A160" s="239"/>
      <c r="B160" s="247"/>
      <c r="C160" s="493" t="s">
        <v>206</v>
      </c>
      <c r="D160" s="494">
        <v>0.5157364972959686</v>
      </c>
      <c r="E160" s="493"/>
      <c r="F160" s="493"/>
      <c r="G160" s="492"/>
      <c r="H160" s="491"/>
      <c r="I160" s="491"/>
      <c r="J160" s="491"/>
      <c r="K160" s="491"/>
      <c r="T160" s="491"/>
    </row>
    <row r="161" spans="1:20" ht="15.75" customHeight="1" x14ac:dyDescent="0.3">
      <c r="A161" s="239"/>
      <c r="B161" s="247"/>
      <c r="C161" s="493" t="s">
        <v>601</v>
      </c>
      <c r="D161" s="494">
        <v>0.58249493630952376</v>
      </c>
      <c r="E161" s="493"/>
      <c r="F161" s="493"/>
      <c r="G161" s="492"/>
      <c r="H161" s="491"/>
      <c r="I161" s="491"/>
      <c r="J161" s="491"/>
      <c r="K161" s="491"/>
      <c r="T161" s="491"/>
    </row>
    <row r="162" spans="1:20" ht="15.75" customHeight="1" x14ac:dyDescent="0.3">
      <c r="A162" s="239"/>
      <c r="B162" s="247"/>
      <c r="C162" s="493" t="s">
        <v>51</v>
      </c>
      <c r="D162" s="494">
        <v>0.67165279962424007</v>
      </c>
      <c r="E162" s="493"/>
      <c r="F162" s="493"/>
      <c r="G162" s="492"/>
      <c r="H162" s="491"/>
      <c r="I162" s="491"/>
      <c r="J162" s="491"/>
      <c r="K162" s="491"/>
      <c r="T162" s="491"/>
    </row>
    <row r="163" spans="1:20" ht="15.75" customHeight="1" x14ac:dyDescent="0.3">
      <c r="A163" s="239"/>
      <c r="B163" s="247"/>
      <c r="C163" s="493" t="s">
        <v>110</v>
      </c>
      <c r="D163" s="494">
        <v>0.67165279962424007</v>
      </c>
      <c r="E163" s="493"/>
      <c r="F163" s="493"/>
      <c r="G163" s="492"/>
      <c r="H163" s="491"/>
      <c r="I163" s="491"/>
      <c r="J163" s="491"/>
      <c r="K163" s="491"/>
      <c r="T163" s="491"/>
    </row>
    <row r="164" spans="1:20" ht="15.75" customHeight="1" x14ac:dyDescent="0.3">
      <c r="A164" s="239"/>
      <c r="B164" s="247"/>
      <c r="C164" s="493" t="s">
        <v>602</v>
      </c>
      <c r="D164" s="494">
        <v>0.69121584652967782</v>
      </c>
      <c r="E164" s="493"/>
      <c r="F164" s="493"/>
      <c r="G164" s="492"/>
      <c r="H164" s="491"/>
      <c r="I164" s="491"/>
      <c r="J164" s="491"/>
      <c r="K164" s="491"/>
      <c r="T164" s="491"/>
    </row>
    <row r="165" spans="1:20" ht="15.75" customHeight="1" x14ac:dyDescent="0.3">
      <c r="A165" s="239"/>
      <c r="B165" s="247"/>
      <c r="C165" s="493" t="s">
        <v>40</v>
      </c>
      <c r="D165" s="494">
        <v>0.89565940633103525</v>
      </c>
      <c r="E165" s="493"/>
      <c r="F165" s="493"/>
      <c r="G165" s="492"/>
      <c r="H165" s="491"/>
      <c r="I165" s="491"/>
      <c r="J165" s="491"/>
      <c r="K165" s="491"/>
      <c r="T165" s="491"/>
    </row>
    <row r="166" spans="1:20" ht="15.75" customHeight="1" x14ac:dyDescent="0.3">
      <c r="A166" s="239"/>
      <c r="B166" s="247"/>
      <c r="C166" s="493" t="s">
        <v>211</v>
      </c>
      <c r="D166" s="494">
        <v>0.89565940633103525</v>
      </c>
      <c r="E166" s="493"/>
      <c r="F166" s="493"/>
      <c r="G166" s="492"/>
      <c r="H166" s="491"/>
      <c r="I166" s="491"/>
      <c r="J166" s="491"/>
      <c r="K166" s="491"/>
      <c r="T166" s="491"/>
    </row>
    <row r="167" spans="1:20" ht="15.75" customHeight="1" x14ac:dyDescent="0.3">
      <c r="A167" s="239"/>
      <c r="B167" s="247"/>
      <c r="C167" s="493" t="s">
        <v>12</v>
      </c>
      <c r="D167" s="494">
        <v>1.0064449533150317</v>
      </c>
      <c r="E167" s="493"/>
      <c r="F167" s="493"/>
      <c r="G167" s="492"/>
      <c r="H167" s="491"/>
      <c r="I167" s="491"/>
      <c r="J167" s="491"/>
      <c r="K167" s="491"/>
      <c r="T167" s="491"/>
    </row>
    <row r="168" spans="1:20" ht="15.75" customHeight="1" x14ac:dyDescent="0.3">
      <c r="A168" s="239"/>
      <c r="B168" s="247"/>
      <c r="C168" s="493" t="s">
        <v>52</v>
      </c>
      <c r="D168" s="494">
        <v>1.0064449533150317</v>
      </c>
      <c r="E168" s="493"/>
      <c r="F168" s="493"/>
      <c r="G168" s="492"/>
      <c r="H168" s="491"/>
      <c r="I168" s="491"/>
      <c r="J168" s="491"/>
      <c r="K168" s="491"/>
      <c r="T168" s="491"/>
    </row>
    <row r="169" spans="1:20" ht="15.75" customHeight="1" x14ac:dyDescent="0.3">
      <c r="A169" s="239"/>
      <c r="B169" s="247"/>
      <c r="C169" s="493" t="s">
        <v>47</v>
      </c>
      <c r="D169" s="494">
        <v>1.1651157738742044</v>
      </c>
      <c r="E169" s="493"/>
      <c r="F169" s="493"/>
      <c r="G169" s="492"/>
      <c r="H169" s="491"/>
      <c r="I169" s="491"/>
      <c r="J169" s="491"/>
      <c r="K169" s="491"/>
      <c r="T169" s="491"/>
    </row>
    <row r="170" spans="1:20" ht="15.75" customHeight="1" x14ac:dyDescent="0.3">
      <c r="A170" s="239"/>
      <c r="B170" s="247"/>
      <c r="C170" s="493" t="s">
        <v>209</v>
      </c>
      <c r="D170" s="494">
        <v>1.1774018251252529</v>
      </c>
      <c r="E170" s="493"/>
      <c r="F170" s="493"/>
      <c r="G170" s="492"/>
      <c r="H170" s="491"/>
      <c r="I170" s="491"/>
      <c r="J170" s="491"/>
      <c r="K170" s="491"/>
      <c r="T170" s="491"/>
    </row>
    <row r="171" spans="1:20" ht="15.75" customHeight="1" x14ac:dyDescent="0.3">
      <c r="A171" s="239"/>
      <c r="B171" s="247"/>
      <c r="C171" s="493" t="s">
        <v>11</v>
      </c>
      <c r="D171" s="494">
        <v>1.2964681323565146</v>
      </c>
      <c r="E171" s="493"/>
      <c r="F171" s="493"/>
      <c r="G171" s="492"/>
      <c r="H171" s="491"/>
      <c r="I171" s="491"/>
      <c r="J171" s="491"/>
      <c r="K171" s="491"/>
      <c r="T171" s="491"/>
    </row>
    <row r="172" spans="1:20" ht="15.75" customHeight="1" x14ac:dyDescent="0.3">
      <c r="A172" s="239"/>
      <c r="B172" s="247"/>
      <c r="C172" s="493" t="s">
        <v>41</v>
      </c>
      <c r="D172" s="494">
        <v>1.2964681323565146</v>
      </c>
      <c r="E172" s="493"/>
      <c r="F172" s="493"/>
      <c r="G172" s="492"/>
      <c r="H172" s="491"/>
      <c r="I172" s="491"/>
      <c r="J172" s="491"/>
      <c r="K172" s="491"/>
      <c r="T172" s="491"/>
    </row>
    <row r="173" spans="1:20" ht="15.75" customHeight="1" x14ac:dyDescent="0.3">
      <c r="A173" s="239"/>
      <c r="B173" s="247"/>
      <c r="C173" s="493" t="s">
        <v>210</v>
      </c>
      <c r="D173" s="494">
        <v>1.2964681323565146</v>
      </c>
      <c r="E173" s="493"/>
      <c r="F173" s="493"/>
      <c r="G173" s="492"/>
      <c r="H173" s="491"/>
      <c r="I173" s="491"/>
      <c r="J173" s="491"/>
      <c r="K173" s="491"/>
      <c r="T173" s="491"/>
    </row>
    <row r="174" spans="1:20" ht="15.75" customHeight="1" x14ac:dyDescent="0.3">
      <c r="A174" s="239"/>
      <c r="B174" s="247"/>
      <c r="C174" s="493" t="s">
        <v>22</v>
      </c>
      <c r="D174" s="494">
        <v>1.5658280222622489</v>
      </c>
      <c r="E174" s="493"/>
      <c r="F174" s="493"/>
      <c r="G174" s="492"/>
      <c r="H174" s="491"/>
      <c r="I174" s="491"/>
      <c r="J174" s="491"/>
      <c r="K174" s="491"/>
      <c r="T174" s="491"/>
    </row>
    <row r="175" spans="1:20" ht="15.75" customHeight="1" x14ac:dyDescent="0.3">
      <c r="A175" s="239"/>
      <c r="B175" s="247"/>
      <c r="C175" s="493" t="s">
        <v>23</v>
      </c>
      <c r="D175" s="494">
        <v>2.0361298403169146</v>
      </c>
      <c r="E175" s="493"/>
      <c r="F175" s="493"/>
      <c r="G175" s="492"/>
      <c r="H175" s="491"/>
      <c r="I175" s="491"/>
      <c r="J175" s="491"/>
      <c r="K175" s="491"/>
      <c r="T175" s="491"/>
    </row>
    <row r="176" spans="1:20" ht="15.75" customHeight="1" x14ac:dyDescent="0.3">
      <c r="A176" s="239"/>
      <c r="B176" s="239"/>
      <c r="C176" s="495"/>
      <c r="D176" s="495"/>
      <c r="E176" s="495"/>
      <c r="F176" s="495"/>
      <c r="G176" s="491"/>
      <c r="H176" s="491"/>
      <c r="I176" s="491"/>
      <c r="J176" s="491"/>
      <c r="K176" s="491"/>
      <c r="T176" s="491"/>
    </row>
    <row r="177" spans="1:20" ht="15.75" customHeight="1" x14ac:dyDescent="0.3">
      <c r="A177" s="239"/>
      <c r="B177" s="239"/>
      <c r="C177" s="496"/>
      <c r="D177" s="495"/>
      <c r="E177" s="495"/>
      <c r="F177" s="495"/>
      <c r="G177" s="491"/>
      <c r="H177" s="491"/>
      <c r="I177" s="491"/>
      <c r="J177" s="491"/>
      <c r="K177" s="491"/>
      <c r="T177" s="491"/>
    </row>
    <row r="178" spans="1:20" ht="15.75" customHeight="1" x14ac:dyDescent="0.3">
      <c r="A178" s="239"/>
      <c r="B178" s="239"/>
      <c r="C178" s="495"/>
      <c r="D178" s="495"/>
      <c r="E178" s="495"/>
      <c r="F178" s="495"/>
      <c r="G178" s="491"/>
      <c r="H178" s="491"/>
      <c r="I178" s="491"/>
      <c r="J178" s="491"/>
      <c r="K178" s="491"/>
      <c r="L178" s="491"/>
      <c r="T178" s="491"/>
    </row>
    <row r="179" spans="1:20" ht="15.75" customHeight="1" x14ac:dyDescent="0.3">
      <c r="A179" s="239"/>
      <c r="B179" s="239"/>
      <c r="C179" s="491"/>
      <c r="D179" s="491"/>
      <c r="E179" s="491"/>
      <c r="F179" s="491"/>
      <c r="G179" s="491"/>
      <c r="H179" s="491"/>
      <c r="I179" s="491"/>
      <c r="J179" s="491"/>
      <c r="K179" s="491"/>
      <c r="L179" s="491"/>
    </row>
    <row r="180" spans="1:20" ht="15.75" customHeight="1" x14ac:dyDescent="0.3">
      <c r="A180" s="239"/>
      <c r="B180" s="239"/>
      <c r="C180" s="314"/>
      <c r="D180" s="314"/>
      <c r="E180" s="314"/>
      <c r="F180" s="314"/>
      <c r="G180" s="314"/>
      <c r="H180" s="314"/>
    </row>
    <row r="181" spans="1:20" ht="15.75" customHeight="1" x14ac:dyDescent="0.3">
      <c r="A181" s="239"/>
      <c r="B181" s="239"/>
      <c r="C181" s="239"/>
      <c r="D181" s="239"/>
      <c r="E181" s="239"/>
      <c r="F181" s="239"/>
    </row>
    <row r="182" spans="1:20" ht="15.75" customHeight="1" x14ac:dyDescent="0.3">
      <c r="A182" s="239"/>
      <c r="B182" s="239"/>
      <c r="C182" s="239"/>
      <c r="D182" s="239"/>
      <c r="E182" s="239"/>
      <c r="F182" s="239"/>
    </row>
    <row r="183" spans="1:20" ht="15.75" customHeight="1" x14ac:dyDescent="0.3">
      <c r="A183" s="239"/>
      <c r="B183" s="239"/>
      <c r="C183" s="239"/>
      <c r="D183" s="239"/>
      <c r="E183" s="239"/>
      <c r="F183" s="239"/>
    </row>
    <row r="184" spans="1:20" ht="15.75" customHeight="1" x14ac:dyDescent="0.3">
      <c r="A184" s="239"/>
      <c r="B184" s="239"/>
      <c r="C184" s="239"/>
      <c r="D184" s="239"/>
      <c r="E184" s="239"/>
      <c r="F184" s="239"/>
    </row>
  </sheetData>
  <sheetProtection password="EBEE" sheet="1" objects="1" scenarios="1"/>
  <mergeCells count="90">
    <mergeCell ref="B6:C6"/>
    <mergeCell ref="B7:C7"/>
    <mergeCell ref="A1:R2"/>
    <mergeCell ref="D4:H4"/>
    <mergeCell ref="J4:J5"/>
    <mergeCell ref="I4:I5"/>
    <mergeCell ref="B4:C5"/>
    <mergeCell ref="C92:K92"/>
    <mergeCell ref="C90:K90"/>
    <mergeCell ref="C91:K91"/>
    <mergeCell ref="B15:C15"/>
    <mergeCell ref="B18:C18"/>
    <mergeCell ref="B19:C19"/>
    <mergeCell ref="B26:C26"/>
    <mergeCell ref="B27:C27"/>
    <mergeCell ref="B20:C20"/>
    <mergeCell ref="B65:C65"/>
    <mergeCell ref="B36:C36"/>
    <mergeCell ref="B37:C37"/>
    <mergeCell ref="B38:C38"/>
    <mergeCell ref="B41:C41"/>
    <mergeCell ref="B61:C61"/>
    <mergeCell ref="B62:C62"/>
    <mergeCell ref="B10:C10"/>
    <mergeCell ref="B72:C72"/>
    <mergeCell ref="B8:C8"/>
    <mergeCell ref="B73:C73"/>
    <mergeCell ref="B17:C17"/>
    <mergeCell ref="B9:C9"/>
    <mergeCell ref="B11:C11"/>
    <mergeCell ref="B16:C16"/>
    <mergeCell ref="B12:C12"/>
    <mergeCell ref="B13:C13"/>
    <mergeCell ref="B14:C14"/>
    <mergeCell ref="B71:C71"/>
    <mergeCell ref="B70:C70"/>
    <mergeCell ref="B32:C32"/>
    <mergeCell ref="B33:C33"/>
    <mergeCell ref="B35:C35"/>
    <mergeCell ref="B50:C50"/>
    <mergeCell ref="B49:C49"/>
    <mergeCell ref="B51:C51"/>
    <mergeCell ref="B52:C52"/>
    <mergeCell ref="B45:C45"/>
    <mergeCell ref="B39:C39"/>
    <mergeCell ref="B40:C40"/>
    <mergeCell ref="B21:C21"/>
    <mergeCell ref="B34:C34"/>
    <mergeCell ref="B23:C23"/>
    <mergeCell ref="B24:C24"/>
    <mergeCell ref="B25:C25"/>
    <mergeCell ref="B22:C22"/>
    <mergeCell ref="B28:C28"/>
    <mergeCell ref="B29:C29"/>
    <mergeCell ref="B30:C30"/>
    <mergeCell ref="B31:C31"/>
    <mergeCell ref="B42:C42"/>
    <mergeCell ref="B66:C66"/>
    <mergeCell ref="B67:C67"/>
    <mergeCell ref="B68:C68"/>
    <mergeCell ref="B69:C69"/>
    <mergeCell ref="B53:C53"/>
    <mergeCell ref="B47:C47"/>
    <mergeCell ref="B44:C44"/>
    <mergeCell ref="B43:C43"/>
    <mergeCell ref="B54:C54"/>
    <mergeCell ref="B55:C55"/>
    <mergeCell ref="B48:C48"/>
    <mergeCell ref="B46:C46"/>
    <mergeCell ref="B56:C56"/>
    <mergeCell ref="B57:C57"/>
    <mergeCell ref="B58:C58"/>
    <mergeCell ref="B60:C60"/>
    <mergeCell ref="B59:C59"/>
    <mergeCell ref="B86:C86"/>
    <mergeCell ref="B77:C77"/>
    <mergeCell ref="B76:C76"/>
    <mergeCell ref="B75:C75"/>
    <mergeCell ref="B63:C63"/>
    <mergeCell ref="B64:C64"/>
    <mergeCell ref="B78:C78"/>
    <mergeCell ref="B74:C74"/>
    <mergeCell ref="B87:C87"/>
    <mergeCell ref="B79:C79"/>
    <mergeCell ref="B80:C80"/>
    <mergeCell ref="B81:C81"/>
    <mergeCell ref="B82:C82"/>
    <mergeCell ref="B84:C84"/>
    <mergeCell ref="B85:C85"/>
    <mergeCell ref="B83:C83"/>
  </mergeCells>
  <phoneticPr fontId="75" type="noConversion"/>
  <pageMargins left="0.7" right="0.7" top="0.75" bottom="0.75" header="0.3" footer="0.3"/>
  <pageSetup paperSize="9" orientation="portrait" horizontalDpi="300" verticalDpi="300" r:id="rId1"/>
  <ignoredErrors>
    <ignoredError sqref="B89:B92" numberStoredAsText="1"/>
    <ignoredError sqref="I49" formula="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showRowColHeaders="0" zoomScaleNormal="100" workbookViewId="0">
      <selection sqref="A1:O1"/>
    </sheetView>
  </sheetViews>
  <sheetFormatPr baseColWidth="10" defaultRowHeight="16.5" x14ac:dyDescent="0.3"/>
  <cols>
    <col min="1" max="2" width="11.42578125" style="298"/>
    <col min="3" max="3" width="20.7109375" style="298" customWidth="1"/>
    <col min="4" max="5" width="11.42578125" style="298"/>
    <col min="6" max="6" width="8.7109375" style="298" customWidth="1"/>
    <col min="7" max="16384" width="11.42578125" style="298"/>
  </cols>
  <sheetData>
    <row r="1" spans="1:15" s="297" customFormat="1" ht="33.75" customHeight="1" x14ac:dyDescent="0.3">
      <c r="A1" s="794" t="s">
        <v>545</v>
      </c>
      <c r="B1" s="794"/>
      <c r="C1" s="794"/>
      <c r="D1" s="794"/>
      <c r="E1" s="794"/>
      <c r="F1" s="794"/>
      <c r="G1" s="794"/>
      <c r="H1" s="794"/>
      <c r="I1" s="794"/>
      <c r="J1" s="794"/>
      <c r="K1" s="794"/>
      <c r="L1" s="794"/>
      <c r="M1" s="794"/>
      <c r="N1" s="794"/>
      <c r="O1" s="794"/>
    </row>
    <row r="2" spans="1:15" ht="34.5" customHeight="1" x14ac:dyDescent="0.3"/>
    <row r="3" spans="1:15" s="299" customFormat="1" ht="39.75" customHeight="1" x14ac:dyDescent="0.25">
      <c r="B3" s="497" t="s">
        <v>473</v>
      </c>
      <c r="C3" s="497" t="s">
        <v>610</v>
      </c>
      <c r="D3" s="795" t="s">
        <v>474</v>
      </c>
      <c r="E3" s="795"/>
      <c r="F3" s="795"/>
      <c r="G3" s="795"/>
      <c r="H3" s="795"/>
      <c r="I3" s="795"/>
      <c r="J3" s="795"/>
      <c r="K3" s="795"/>
      <c r="L3" s="795"/>
      <c r="M3" s="795"/>
      <c r="N3" s="795"/>
      <c r="O3" s="795"/>
    </row>
    <row r="4" spans="1:15" x14ac:dyDescent="0.3">
      <c r="B4" s="301" t="s">
        <v>475</v>
      </c>
      <c r="C4" s="300">
        <v>41789</v>
      </c>
      <c r="D4" s="796" t="s">
        <v>100</v>
      </c>
      <c r="E4" s="796"/>
      <c r="F4" s="796"/>
      <c r="G4" s="796"/>
      <c r="H4" s="796"/>
      <c r="I4" s="796"/>
      <c r="J4" s="796"/>
      <c r="K4" s="796"/>
      <c r="L4" s="796"/>
      <c r="M4" s="796"/>
      <c r="N4" s="796"/>
      <c r="O4" s="796"/>
    </row>
    <row r="5" spans="1:15" x14ac:dyDescent="0.3">
      <c r="B5" s="779" t="s">
        <v>543</v>
      </c>
      <c r="C5" s="782">
        <v>41815</v>
      </c>
      <c r="D5" s="785" t="s">
        <v>539</v>
      </c>
      <c r="E5" s="786"/>
      <c r="F5" s="786"/>
      <c r="G5" s="786"/>
      <c r="H5" s="786"/>
      <c r="I5" s="786"/>
      <c r="J5" s="786"/>
      <c r="K5" s="786"/>
      <c r="L5" s="786"/>
      <c r="M5" s="786"/>
      <c r="N5" s="786"/>
      <c r="O5" s="787"/>
    </row>
    <row r="6" spans="1:15" x14ac:dyDescent="0.3">
      <c r="B6" s="780"/>
      <c r="C6" s="783"/>
      <c r="D6" s="788"/>
      <c r="E6" s="789"/>
      <c r="F6" s="789"/>
      <c r="G6" s="789"/>
      <c r="H6" s="789"/>
      <c r="I6" s="789"/>
      <c r="J6" s="789"/>
      <c r="K6" s="789"/>
      <c r="L6" s="789"/>
      <c r="M6" s="789"/>
      <c r="N6" s="789"/>
      <c r="O6" s="790"/>
    </row>
    <row r="7" spans="1:15" x14ac:dyDescent="0.3">
      <c r="B7" s="780"/>
      <c r="C7" s="783"/>
      <c r="D7" s="788"/>
      <c r="E7" s="789"/>
      <c r="F7" s="789"/>
      <c r="G7" s="789"/>
      <c r="H7" s="789"/>
      <c r="I7" s="789"/>
      <c r="J7" s="789"/>
      <c r="K7" s="789"/>
      <c r="L7" s="789"/>
      <c r="M7" s="789"/>
      <c r="N7" s="789"/>
      <c r="O7" s="790"/>
    </row>
    <row r="8" spans="1:15" ht="16.5" customHeight="1" x14ac:dyDescent="0.3">
      <c r="B8" s="780"/>
      <c r="C8" s="783"/>
      <c r="D8" s="788"/>
      <c r="E8" s="789"/>
      <c r="F8" s="789"/>
      <c r="G8" s="789"/>
      <c r="H8" s="789"/>
      <c r="I8" s="789"/>
      <c r="J8" s="789"/>
      <c r="K8" s="789"/>
      <c r="L8" s="789"/>
      <c r="M8" s="789"/>
      <c r="N8" s="789"/>
      <c r="O8" s="790"/>
    </row>
    <row r="9" spans="1:15" x14ac:dyDescent="0.3">
      <c r="B9" s="780"/>
      <c r="C9" s="783"/>
      <c r="D9" s="788"/>
      <c r="E9" s="789"/>
      <c r="F9" s="789"/>
      <c r="G9" s="789"/>
      <c r="H9" s="789"/>
      <c r="I9" s="789"/>
      <c r="J9" s="789"/>
      <c r="K9" s="789"/>
      <c r="L9" s="789"/>
      <c r="M9" s="789"/>
      <c r="N9" s="789"/>
      <c r="O9" s="790"/>
    </row>
    <row r="10" spans="1:15" x14ac:dyDescent="0.3">
      <c r="B10" s="780"/>
      <c r="C10" s="783"/>
      <c r="D10" s="788"/>
      <c r="E10" s="789"/>
      <c r="F10" s="789"/>
      <c r="G10" s="789"/>
      <c r="H10" s="789"/>
      <c r="I10" s="789"/>
      <c r="J10" s="789"/>
      <c r="K10" s="789"/>
      <c r="L10" s="789"/>
      <c r="M10" s="789"/>
      <c r="N10" s="789"/>
      <c r="O10" s="790"/>
    </row>
    <row r="11" spans="1:15" ht="16.5" customHeight="1" x14ac:dyDescent="0.3">
      <c r="B11" s="781"/>
      <c r="C11" s="784"/>
      <c r="D11" s="791"/>
      <c r="E11" s="792"/>
      <c r="F11" s="792"/>
      <c r="G11" s="792"/>
      <c r="H11" s="792"/>
      <c r="I11" s="792"/>
      <c r="J11" s="792"/>
      <c r="K11" s="792"/>
      <c r="L11" s="792"/>
      <c r="M11" s="792"/>
      <c r="N11" s="792"/>
      <c r="O11" s="793"/>
    </row>
    <row r="12" spans="1:15" x14ac:dyDescent="0.3">
      <c r="B12" s="779" t="s">
        <v>559</v>
      </c>
      <c r="C12" s="782">
        <v>42573</v>
      </c>
      <c r="D12" s="785" t="s">
        <v>593</v>
      </c>
      <c r="E12" s="786"/>
      <c r="F12" s="786"/>
      <c r="G12" s="786"/>
      <c r="H12" s="786"/>
      <c r="I12" s="786"/>
      <c r="J12" s="786"/>
      <c r="K12" s="786"/>
      <c r="L12" s="786"/>
      <c r="M12" s="786"/>
      <c r="N12" s="786"/>
      <c r="O12" s="787"/>
    </row>
    <row r="13" spans="1:15" x14ac:dyDescent="0.3">
      <c r="B13" s="780"/>
      <c r="C13" s="783"/>
      <c r="D13" s="788"/>
      <c r="E13" s="789"/>
      <c r="F13" s="789"/>
      <c r="G13" s="789"/>
      <c r="H13" s="789"/>
      <c r="I13" s="789"/>
      <c r="J13" s="789"/>
      <c r="K13" s="789"/>
      <c r="L13" s="789"/>
      <c r="M13" s="789"/>
      <c r="N13" s="789"/>
      <c r="O13" s="790"/>
    </row>
    <row r="14" spans="1:15" ht="67.5" customHeight="1" x14ac:dyDescent="0.3">
      <c r="B14" s="781"/>
      <c r="C14" s="784"/>
      <c r="D14" s="791"/>
      <c r="E14" s="792"/>
      <c r="F14" s="792"/>
      <c r="G14" s="792"/>
      <c r="H14" s="792"/>
      <c r="I14" s="792"/>
      <c r="J14" s="792"/>
      <c r="K14" s="792"/>
      <c r="L14" s="792"/>
      <c r="M14" s="792"/>
      <c r="N14" s="792"/>
      <c r="O14" s="793"/>
    </row>
    <row r="15" spans="1:15" x14ac:dyDescent="0.3">
      <c r="B15" s="779" t="s">
        <v>596</v>
      </c>
      <c r="C15" s="782">
        <v>43131</v>
      </c>
      <c r="D15" s="785" t="s">
        <v>605</v>
      </c>
      <c r="E15" s="786"/>
      <c r="F15" s="786"/>
      <c r="G15" s="786"/>
      <c r="H15" s="786"/>
      <c r="I15" s="786"/>
      <c r="J15" s="786"/>
      <c r="K15" s="786"/>
      <c r="L15" s="786"/>
      <c r="M15" s="786"/>
      <c r="N15" s="786"/>
      <c r="O15" s="787"/>
    </row>
    <row r="16" spans="1:15" x14ac:dyDescent="0.3">
      <c r="B16" s="780"/>
      <c r="C16" s="783"/>
      <c r="D16" s="788"/>
      <c r="E16" s="789"/>
      <c r="F16" s="789"/>
      <c r="G16" s="789"/>
      <c r="H16" s="789"/>
      <c r="I16" s="789"/>
      <c r="J16" s="789"/>
      <c r="K16" s="789"/>
      <c r="L16" s="789"/>
      <c r="M16" s="789"/>
      <c r="N16" s="789"/>
      <c r="O16" s="790"/>
    </row>
    <row r="17" spans="2:15" x14ac:dyDescent="0.3">
      <c r="B17" s="781"/>
      <c r="C17" s="784"/>
      <c r="D17" s="791"/>
      <c r="E17" s="792"/>
      <c r="F17" s="792"/>
      <c r="G17" s="792"/>
      <c r="H17" s="792"/>
      <c r="I17" s="792"/>
      <c r="J17" s="792"/>
      <c r="K17" s="792"/>
      <c r="L17" s="792"/>
      <c r="M17" s="792"/>
      <c r="N17" s="792"/>
      <c r="O17" s="793"/>
    </row>
  </sheetData>
  <sheetProtection password="EBEE" sheet="1" objects="1" scenarios="1"/>
  <mergeCells count="12">
    <mergeCell ref="B15:B17"/>
    <mergeCell ref="C15:C17"/>
    <mergeCell ref="D15:O17"/>
    <mergeCell ref="A1:O1"/>
    <mergeCell ref="D3:O3"/>
    <mergeCell ref="D4:O4"/>
    <mergeCell ref="B12:B14"/>
    <mergeCell ref="C12:C14"/>
    <mergeCell ref="D12:O14"/>
    <mergeCell ref="C5:C11"/>
    <mergeCell ref="D5:O11"/>
    <mergeCell ref="B5:B11"/>
  </mergeCells>
  <phoneticPr fontId="75" type="noConversion"/>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201"/>
  <sheetViews>
    <sheetView topLeftCell="A133" workbookViewId="0">
      <selection activeCell="D94" sqref="D94:L94"/>
    </sheetView>
  </sheetViews>
  <sheetFormatPr baseColWidth="10" defaultRowHeight="15" x14ac:dyDescent="0.25"/>
  <cols>
    <col min="1" max="1" width="32.140625" bestFit="1" customWidth="1"/>
    <col min="2" max="2" width="44" style="91" bestFit="1" customWidth="1"/>
    <col min="3" max="3" width="13.140625" style="24" hidden="1" customWidth="1"/>
    <col min="4" max="4" width="15.140625" style="24" bestFit="1" customWidth="1"/>
    <col min="5" max="5" width="13.140625" style="24" hidden="1" customWidth="1"/>
    <col min="6" max="6" width="15.140625" style="24" bestFit="1" customWidth="1"/>
    <col min="7" max="7" width="13.140625" style="24" hidden="1" customWidth="1"/>
    <col min="8" max="8" width="15.140625" style="24" bestFit="1" customWidth="1"/>
    <col min="9" max="9" width="13.140625" style="24" hidden="1" customWidth="1"/>
    <col min="10" max="10" width="15.140625" style="24" bestFit="1" customWidth="1"/>
    <col min="11" max="11" width="13.140625" style="24" hidden="1" customWidth="1"/>
    <col min="12" max="12" width="15.140625" style="24" bestFit="1" customWidth="1"/>
  </cols>
  <sheetData>
    <row r="3" spans="1:12" ht="33" x14ac:dyDescent="0.25">
      <c r="A3" s="66" t="s">
        <v>93</v>
      </c>
      <c r="B3" s="66" t="s">
        <v>99</v>
      </c>
      <c r="C3" s="18" t="s">
        <v>111</v>
      </c>
      <c r="D3" s="18" t="s">
        <v>116</v>
      </c>
      <c r="E3" s="19" t="s">
        <v>112</v>
      </c>
      <c r="F3" s="19" t="s">
        <v>117</v>
      </c>
      <c r="G3" s="20" t="s">
        <v>113</v>
      </c>
      <c r="H3" s="20" t="s">
        <v>118</v>
      </c>
      <c r="I3" s="21" t="s">
        <v>115</v>
      </c>
      <c r="J3" s="21" t="s">
        <v>119</v>
      </c>
      <c r="K3" s="22" t="s">
        <v>114</v>
      </c>
      <c r="L3" s="22" t="s">
        <v>120</v>
      </c>
    </row>
    <row r="4" spans="1:12" x14ac:dyDescent="0.25">
      <c r="A4" s="82" t="s">
        <v>3</v>
      </c>
      <c r="B4" s="96" t="s">
        <v>218</v>
      </c>
      <c r="C4" s="37">
        <v>4.1428571428571433E-2</v>
      </c>
      <c r="D4" s="37">
        <v>5.4809516666666669E-2</v>
      </c>
      <c r="E4" s="37">
        <v>5.1785714285714289E-2</v>
      </c>
      <c r="F4" s="37">
        <v>6.8511895833333336E-2</v>
      </c>
      <c r="G4" s="37">
        <v>6.2142857142857146E-2</v>
      </c>
      <c r="H4" s="37">
        <v>8.2214275000000003E-2</v>
      </c>
      <c r="I4" s="37">
        <v>7.2499999999999995E-2</v>
      </c>
      <c r="J4" s="37">
        <v>9.5916654166666657E-2</v>
      </c>
      <c r="K4" s="37">
        <v>8.2857142857142865E-2</v>
      </c>
      <c r="L4" s="37">
        <v>0.10961903333333334</v>
      </c>
    </row>
    <row r="5" spans="1:12" x14ac:dyDescent="0.25">
      <c r="A5" s="83" t="s">
        <v>3</v>
      </c>
      <c r="B5" s="85" t="s">
        <v>214</v>
      </c>
      <c r="C5" s="36">
        <v>4.8031274739990908E-2</v>
      </c>
      <c r="D5" s="36">
        <v>6.3544816116135994E-2</v>
      </c>
      <c r="E5" s="36">
        <v>6.0039093424988636E-2</v>
      </c>
      <c r="F5" s="36">
        <v>7.943102014517002E-2</v>
      </c>
      <c r="G5" s="36">
        <v>7.2046912109986358E-2</v>
      </c>
      <c r="H5" s="36">
        <v>9.5317224174204004E-2</v>
      </c>
      <c r="I5" s="36">
        <v>8.4054730794984087E-2</v>
      </c>
      <c r="J5" s="36">
        <v>0.111203428203238</v>
      </c>
      <c r="K5" s="36">
        <v>9.6062549479981815E-2</v>
      </c>
      <c r="L5" s="36">
        <v>0.12708963223227199</v>
      </c>
    </row>
    <row r="6" spans="1:12" x14ac:dyDescent="0.25">
      <c r="A6" s="81" t="s">
        <v>182</v>
      </c>
      <c r="B6" s="85" t="s">
        <v>214</v>
      </c>
      <c r="C6" s="36">
        <v>0.16582986056660684</v>
      </c>
      <c r="D6" s="36">
        <v>0.21939097084791426</v>
      </c>
      <c r="E6" s="36">
        <v>0.20728732570825856</v>
      </c>
      <c r="F6" s="36">
        <v>0.27423871355989282</v>
      </c>
      <c r="G6" s="36">
        <v>0.24874479084991025</v>
      </c>
      <c r="H6" s="36">
        <v>0.32908645627187133</v>
      </c>
      <c r="I6" s="36">
        <v>0.29020225599156196</v>
      </c>
      <c r="J6" s="36">
        <v>0.38393419898384989</v>
      </c>
      <c r="K6" s="36">
        <v>0.33165972113321368</v>
      </c>
      <c r="L6" s="36">
        <v>0.43878194169582851</v>
      </c>
    </row>
    <row r="7" spans="1:12" x14ac:dyDescent="0.25">
      <c r="A7" s="81" t="s">
        <v>4</v>
      </c>
      <c r="B7" s="85" t="s">
        <v>214</v>
      </c>
      <c r="C7" s="36">
        <v>1.3848916202570057E-2</v>
      </c>
      <c r="D7" s="36">
        <v>3.0548862620709202E-2</v>
      </c>
      <c r="E7" s="36">
        <v>1.7311145253212572E-2</v>
      </c>
      <c r="F7" s="36">
        <v>3.8186078275886506E-2</v>
      </c>
      <c r="G7" s="36">
        <v>2.0773374303855088E-2</v>
      </c>
      <c r="H7" s="36">
        <v>4.582329393106381E-2</v>
      </c>
      <c r="I7" s="36">
        <v>2.4235603354497599E-2</v>
      </c>
      <c r="J7" s="36">
        <v>5.3460509586241108E-2</v>
      </c>
      <c r="K7" s="36">
        <v>2.7697832405140115E-2</v>
      </c>
      <c r="L7" s="36">
        <v>6.1097725241418405E-2</v>
      </c>
    </row>
    <row r="8" spans="1:12" x14ac:dyDescent="0.25">
      <c r="A8" s="81" t="s">
        <v>156</v>
      </c>
      <c r="B8" s="85" t="s">
        <v>214</v>
      </c>
      <c r="C8" s="36">
        <v>5.0088755536270436E-2</v>
      </c>
      <c r="D8" s="36">
        <v>0.14975536130234138</v>
      </c>
      <c r="E8" s="36">
        <v>6.2610944420338044E-2</v>
      </c>
      <c r="F8" s="36">
        <v>0.18719420162792669</v>
      </c>
      <c r="G8" s="36">
        <v>7.5133133304405658E-2</v>
      </c>
      <c r="H8" s="36">
        <v>0.22463304195351205</v>
      </c>
      <c r="I8" s="36">
        <v>8.7655322188473273E-2</v>
      </c>
      <c r="J8" s="36">
        <v>0.26207188227909739</v>
      </c>
      <c r="K8" s="36">
        <v>0.10017751107254087</v>
      </c>
      <c r="L8" s="36">
        <v>0.29951072260468276</v>
      </c>
    </row>
    <row r="9" spans="1:12" x14ac:dyDescent="0.25">
      <c r="A9" s="2" t="s">
        <v>5</v>
      </c>
      <c r="B9" s="87"/>
      <c r="C9" s="36"/>
      <c r="D9" s="36"/>
      <c r="E9" s="36"/>
      <c r="F9" s="36"/>
      <c r="G9" s="36"/>
      <c r="H9" s="36"/>
      <c r="I9" s="36"/>
      <c r="J9" s="36"/>
      <c r="K9" s="36"/>
      <c r="L9" s="36"/>
    </row>
    <row r="10" spans="1:12" x14ac:dyDescent="0.25">
      <c r="A10" s="82" t="s">
        <v>6</v>
      </c>
      <c r="B10" s="96" t="s">
        <v>218</v>
      </c>
      <c r="C10" s="36">
        <v>2.4235603354497599E-2</v>
      </c>
      <c r="D10" s="36">
        <v>4.3252439999999996E-2</v>
      </c>
      <c r="E10" s="36">
        <v>6.0999999999999999E-2</v>
      </c>
      <c r="F10" s="36">
        <v>0.12563804000000001</v>
      </c>
      <c r="G10" s="36">
        <v>0.112</v>
      </c>
      <c r="H10" s="36">
        <v>0.23067968000000003</v>
      </c>
      <c r="I10" s="36">
        <v>0.17499999999999999</v>
      </c>
      <c r="J10" s="36">
        <v>0.36043700000000001</v>
      </c>
      <c r="K10" s="37">
        <v>0.246</v>
      </c>
      <c r="L10" s="36">
        <v>0.50667143999999997</v>
      </c>
    </row>
    <row r="11" spans="1:12" x14ac:dyDescent="0.25">
      <c r="A11" s="83" t="s">
        <v>6</v>
      </c>
      <c r="B11" s="85" t="s">
        <v>214</v>
      </c>
      <c r="C11" s="36">
        <v>3.1447806237851809E-2</v>
      </c>
      <c r="D11" s="36">
        <v>6.4771159639729098E-2</v>
      </c>
      <c r="E11" s="36">
        <v>3.9309757797314764E-2</v>
      </c>
      <c r="F11" s="36">
        <v>8.0963949549661379E-2</v>
      </c>
      <c r="G11" s="36">
        <v>4.7171709356777711E-2</v>
      </c>
      <c r="H11" s="36">
        <v>9.7156739459593647E-2</v>
      </c>
      <c r="I11" s="36">
        <v>5.5033660916240665E-2</v>
      </c>
      <c r="J11" s="36">
        <v>0.11334952936952593</v>
      </c>
      <c r="K11" s="36">
        <v>6.2895612475703619E-2</v>
      </c>
      <c r="L11" s="36">
        <v>0.1295423192794582</v>
      </c>
    </row>
    <row r="12" spans="1:12" x14ac:dyDescent="0.25">
      <c r="A12" s="2" t="s">
        <v>7</v>
      </c>
      <c r="B12" s="87"/>
      <c r="C12" s="36"/>
      <c r="D12" s="36"/>
      <c r="E12" s="36"/>
      <c r="F12" s="36"/>
      <c r="G12" s="36"/>
      <c r="H12" s="36"/>
      <c r="I12" s="36"/>
      <c r="J12" s="36"/>
      <c r="K12" s="36"/>
      <c r="L12" s="36"/>
    </row>
    <row r="13" spans="1:12" x14ac:dyDescent="0.25">
      <c r="A13" s="83" t="s">
        <v>8</v>
      </c>
      <c r="B13" s="85" t="s">
        <v>214</v>
      </c>
      <c r="C13" s="36">
        <v>3.0717644461124231E-2</v>
      </c>
      <c r="D13" s="36">
        <v>5.9604517312365456E-2</v>
      </c>
      <c r="E13" s="36">
        <v>3.8397055576405291E-2</v>
      </c>
      <c r="F13" s="36">
        <v>7.4505646640456821E-2</v>
      </c>
      <c r="G13" s="36">
        <v>4.6076466691686351E-2</v>
      </c>
      <c r="H13" s="36">
        <v>8.9406775968548208E-2</v>
      </c>
      <c r="I13" s="36">
        <v>5.375587780696741E-2</v>
      </c>
      <c r="J13" s="36">
        <v>0.10430790529663955</v>
      </c>
      <c r="K13" s="36">
        <v>6.1435288922248463E-2</v>
      </c>
      <c r="L13" s="36">
        <v>0.11920903462473091</v>
      </c>
    </row>
    <row r="14" spans="1:12" x14ac:dyDescent="0.25">
      <c r="A14" s="39" t="s">
        <v>2</v>
      </c>
      <c r="B14" s="96" t="s">
        <v>218</v>
      </c>
      <c r="C14" s="36">
        <v>1.0999999999999999E-2</v>
      </c>
      <c r="D14" s="36">
        <v>2.2141386666666665E-2</v>
      </c>
      <c r="E14" s="36">
        <v>0.04</v>
      </c>
      <c r="F14" s="36">
        <v>8.0514133333333335E-2</v>
      </c>
      <c r="G14" s="36">
        <v>7.3999999999999996E-2</v>
      </c>
      <c r="H14" s="36">
        <v>0.14895114666666667</v>
      </c>
      <c r="I14" s="36">
        <v>0.112</v>
      </c>
      <c r="J14" s="36">
        <v>0.22543957333333331</v>
      </c>
      <c r="K14" s="37">
        <v>0.151</v>
      </c>
      <c r="L14" s="36">
        <v>0.30394085333333332</v>
      </c>
    </row>
    <row r="15" spans="1:12" x14ac:dyDescent="0.25">
      <c r="A15" s="38" t="s">
        <v>2</v>
      </c>
      <c r="B15" s="137" t="s">
        <v>242</v>
      </c>
      <c r="C15" s="36"/>
      <c r="D15" s="36">
        <v>4.3707006369426753E-2</v>
      </c>
      <c r="E15" s="36"/>
      <c r="F15" s="36">
        <v>7.9045013883379617E-2</v>
      </c>
      <c r="G15" s="36"/>
      <c r="H15" s="36">
        <v>0.13044307692307691</v>
      </c>
      <c r="I15" s="36"/>
      <c r="J15" s="36">
        <v>0.2005983526734926</v>
      </c>
      <c r="K15" s="37"/>
      <c r="L15" s="36">
        <v>0.28954389370306183</v>
      </c>
    </row>
    <row r="16" spans="1:12" x14ac:dyDescent="0.25">
      <c r="A16" s="83" t="s">
        <v>2</v>
      </c>
      <c r="B16" s="85" t="s">
        <v>214</v>
      </c>
      <c r="C16" s="36">
        <v>3.0940271672411278E-2</v>
      </c>
      <c r="D16" s="36">
        <v>6.2278228970051946E-2</v>
      </c>
      <c r="E16" s="36">
        <v>3.8675339590514099E-2</v>
      </c>
      <c r="F16" s="36">
        <v>7.784778621256494E-2</v>
      </c>
      <c r="G16" s="36">
        <v>4.6410407508616913E-2</v>
      </c>
      <c r="H16" s="36">
        <v>9.3417343455077906E-2</v>
      </c>
      <c r="I16" s="36">
        <v>5.4145475426719734E-2</v>
      </c>
      <c r="J16" s="36">
        <v>0.1089869006975909</v>
      </c>
      <c r="K16" s="36">
        <v>6.1880543344822556E-2</v>
      </c>
      <c r="L16" s="36">
        <v>0.12455645794010389</v>
      </c>
    </row>
    <row r="17" spans="1:12" x14ac:dyDescent="0.25">
      <c r="A17" s="134" t="s">
        <v>2</v>
      </c>
      <c r="B17" s="138" t="s">
        <v>245</v>
      </c>
      <c r="C17" s="36"/>
      <c r="D17" s="36">
        <v>5.5384426799168551E-2</v>
      </c>
      <c r="E17" s="36"/>
      <c r="F17" s="36">
        <v>9.2649280417025512E-2</v>
      </c>
      <c r="G17" s="36"/>
      <c r="H17" s="36">
        <v>0.14159152880542167</v>
      </c>
      <c r="I17" s="36"/>
      <c r="J17" s="36">
        <v>0.20846959774569435</v>
      </c>
      <c r="K17" s="36"/>
      <c r="L17" s="36">
        <v>0.29232713581836017</v>
      </c>
    </row>
    <row r="18" spans="1:12" x14ac:dyDescent="0.25">
      <c r="A18" s="2" t="s">
        <v>9</v>
      </c>
      <c r="B18" s="87"/>
      <c r="C18" s="36"/>
      <c r="D18" s="36"/>
      <c r="E18" s="36"/>
      <c r="F18" s="36"/>
      <c r="G18" s="36"/>
      <c r="H18" s="36"/>
      <c r="I18" s="36"/>
      <c r="J18" s="36"/>
      <c r="K18" s="36"/>
      <c r="L18" s="36"/>
    </row>
    <row r="19" spans="1:12" x14ac:dyDescent="0.25">
      <c r="A19" s="27" t="s">
        <v>10</v>
      </c>
      <c r="B19" s="96" t="s">
        <v>218</v>
      </c>
      <c r="C19" s="36">
        <v>8.5999999999999993E-2</v>
      </c>
      <c r="D19" s="36">
        <v>0.20894774999999999</v>
      </c>
      <c r="E19" s="36">
        <v>0.1075</v>
      </c>
      <c r="F19" s="36">
        <v>0.26118468749999996</v>
      </c>
      <c r="G19" s="36">
        <v>0.129</v>
      </c>
      <c r="H19" s="36">
        <v>0.31342162499999998</v>
      </c>
      <c r="I19" s="36">
        <v>0.19950000000000001</v>
      </c>
      <c r="J19" s="36">
        <v>0.4847101875</v>
      </c>
      <c r="K19" s="36">
        <v>0.22800000000000001</v>
      </c>
      <c r="L19" s="36">
        <v>0.55395450000000002</v>
      </c>
    </row>
    <row r="20" spans="1:12" x14ac:dyDescent="0.25">
      <c r="A20" s="83" t="s">
        <v>10</v>
      </c>
      <c r="B20" s="85" t="s">
        <v>214</v>
      </c>
      <c r="C20" s="36">
        <v>5.1085313145785793E-2</v>
      </c>
      <c r="D20" s="36">
        <v>0.1241181539518298</v>
      </c>
      <c r="E20" s="36">
        <v>6.3856641432232242E-2</v>
      </c>
      <c r="F20" s="36">
        <v>0.15514769243978724</v>
      </c>
      <c r="G20" s="36">
        <v>7.662796971867869E-2</v>
      </c>
      <c r="H20" s="36">
        <v>0.18617723092774471</v>
      </c>
      <c r="I20" s="36">
        <v>8.9399298005125138E-2</v>
      </c>
      <c r="J20" s="36">
        <v>0.21720676941570213</v>
      </c>
      <c r="K20" s="36">
        <v>0.10217062629157159</v>
      </c>
      <c r="L20" s="36">
        <v>0.24823630790365961</v>
      </c>
    </row>
    <row r="21" spans="1:12" x14ac:dyDescent="0.25">
      <c r="A21" s="92" t="s">
        <v>172</v>
      </c>
      <c r="B21" s="85" t="s">
        <v>214</v>
      </c>
      <c r="C21" s="36">
        <v>1.4595690686994803E-2</v>
      </c>
      <c r="D21" s="36">
        <v>6.1960458449175387E-2</v>
      </c>
      <c r="E21" s="36">
        <v>1.8244613358743503E-2</v>
      </c>
      <c r="F21" s="36">
        <v>7.7450573061469213E-2</v>
      </c>
      <c r="G21" s="36">
        <v>2.1893536030492204E-2</v>
      </c>
      <c r="H21" s="36">
        <v>9.2940687673763067E-2</v>
      </c>
      <c r="I21" s="36">
        <v>2.5542458702240905E-2</v>
      </c>
      <c r="J21" s="36">
        <v>0.10843080228605692</v>
      </c>
      <c r="K21" s="36">
        <v>2.9191381373989606E-2</v>
      </c>
      <c r="L21" s="36">
        <v>0.12392091689835077</v>
      </c>
    </row>
    <row r="22" spans="1:12" x14ac:dyDescent="0.25">
      <c r="A22" s="2" t="s">
        <v>11</v>
      </c>
      <c r="B22" s="87"/>
      <c r="C22" s="36"/>
      <c r="D22" s="36"/>
      <c r="E22" s="36"/>
      <c r="F22" s="36"/>
      <c r="G22" s="36"/>
      <c r="H22" s="36"/>
      <c r="I22" s="36"/>
      <c r="J22" s="36"/>
      <c r="K22" s="36"/>
      <c r="L22" s="36"/>
    </row>
    <row r="23" spans="1:12" x14ac:dyDescent="0.25">
      <c r="A23" s="2" t="s">
        <v>12</v>
      </c>
      <c r="B23" s="87"/>
      <c r="C23" s="36"/>
      <c r="D23" s="36"/>
      <c r="E23" s="36"/>
      <c r="F23" s="36"/>
      <c r="G23" s="36"/>
      <c r="H23" s="36"/>
      <c r="I23" s="36"/>
      <c r="J23" s="36"/>
      <c r="K23" s="36"/>
      <c r="L23" s="36"/>
    </row>
    <row r="24" spans="1:12" x14ac:dyDescent="0.25">
      <c r="A24" s="92" t="s">
        <v>13</v>
      </c>
      <c r="B24" s="85" t="s">
        <v>214</v>
      </c>
      <c r="C24" s="36">
        <v>7.0330285525162482E-3</v>
      </c>
      <c r="D24" s="36">
        <v>7.2902029632532592E-3</v>
      </c>
      <c r="E24" s="36">
        <v>8.7912856906453094E-3</v>
      </c>
      <c r="F24" s="36">
        <v>9.1127537040665719E-3</v>
      </c>
      <c r="G24" s="36">
        <v>1.0549542828774372E-2</v>
      </c>
      <c r="H24" s="36">
        <v>1.0935304444879886E-2</v>
      </c>
      <c r="I24" s="36">
        <v>1.2307799966903434E-2</v>
      </c>
      <c r="J24" s="36">
        <v>1.2757855185693201E-2</v>
      </c>
      <c r="K24" s="36">
        <v>1.4066057105032496E-2</v>
      </c>
      <c r="L24" s="36">
        <v>1.4580405926506518E-2</v>
      </c>
    </row>
    <row r="25" spans="1:12" x14ac:dyDescent="0.25">
      <c r="A25" s="2" t="s">
        <v>14</v>
      </c>
      <c r="B25" s="87"/>
      <c r="C25" s="36"/>
      <c r="D25" s="36"/>
      <c r="E25" s="36"/>
      <c r="F25" s="36"/>
      <c r="G25" s="36"/>
      <c r="H25" s="36"/>
      <c r="I25" s="36"/>
      <c r="J25" s="36"/>
      <c r="K25" s="36"/>
      <c r="L25" s="36"/>
    </row>
    <row r="26" spans="1:12" x14ac:dyDescent="0.25">
      <c r="A26" s="92" t="s">
        <v>15</v>
      </c>
      <c r="B26" s="85" t="s">
        <v>214</v>
      </c>
      <c r="C26" s="36">
        <v>3.5519916783877857E-2</v>
      </c>
      <c r="D26" s="36">
        <v>7.8352200436330038E-2</v>
      </c>
      <c r="E26" s="36">
        <v>4.4399895979847323E-2</v>
      </c>
      <c r="F26" s="36">
        <v>9.7940250545412541E-2</v>
      </c>
      <c r="G26" s="36">
        <v>5.3279875175816782E-2</v>
      </c>
      <c r="H26" s="36">
        <v>0.11752830065449504</v>
      </c>
      <c r="I26" s="36">
        <v>6.2159854371786248E-2</v>
      </c>
      <c r="J26" s="36">
        <v>0.13711635076357756</v>
      </c>
      <c r="K26" s="36">
        <v>7.1039833567755714E-2</v>
      </c>
      <c r="L26" s="36">
        <v>0.15670440087266008</v>
      </c>
    </row>
    <row r="27" spans="1:12" x14ac:dyDescent="0.25">
      <c r="A27" s="92" t="s">
        <v>17</v>
      </c>
      <c r="B27" s="85" t="s">
        <v>214</v>
      </c>
      <c r="C27" s="36">
        <v>0.13780596631208833</v>
      </c>
      <c r="D27" s="36">
        <v>0.26739869703197616</v>
      </c>
      <c r="E27" s="36">
        <v>0.23625044309191207</v>
      </c>
      <c r="F27" s="36">
        <v>0.45842035977554618</v>
      </c>
      <c r="G27" s="36">
        <v>0.31672869557299338</v>
      </c>
      <c r="H27" s="36">
        <v>0.61458036088983636</v>
      </c>
      <c r="I27" s="36">
        <v>0.46409651535326579</v>
      </c>
      <c r="J27" s="36">
        <v>0.900532878391477</v>
      </c>
      <c r="K27" s="36">
        <v>0.54009296361673664</v>
      </c>
      <c r="L27" s="36">
        <v>1.0479963866019157</v>
      </c>
    </row>
    <row r="28" spans="1:12" x14ac:dyDescent="0.25">
      <c r="A28" s="2" t="s">
        <v>18</v>
      </c>
      <c r="B28" s="87"/>
      <c r="C28" s="36"/>
      <c r="D28" s="36"/>
      <c r="E28" s="36"/>
      <c r="F28" s="36"/>
      <c r="G28" s="36"/>
      <c r="H28" s="36"/>
      <c r="I28" s="36"/>
      <c r="J28" s="36"/>
      <c r="K28" s="36"/>
      <c r="L28" s="36"/>
    </row>
    <row r="29" spans="1:12" x14ac:dyDescent="0.25">
      <c r="A29" s="2" t="s">
        <v>19</v>
      </c>
      <c r="B29" s="87"/>
      <c r="C29" s="36"/>
      <c r="D29" s="36"/>
      <c r="E29" s="36"/>
      <c r="F29" s="36"/>
      <c r="G29" s="36"/>
      <c r="H29" s="36"/>
      <c r="I29" s="36"/>
      <c r="J29" s="36"/>
      <c r="K29" s="36"/>
      <c r="L29" s="36"/>
    </row>
    <row r="30" spans="1:12" x14ac:dyDescent="0.25">
      <c r="A30" s="2" t="s">
        <v>20</v>
      </c>
      <c r="B30" s="87"/>
      <c r="C30" s="36"/>
      <c r="D30" s="36"/>
      <c r="E30" s="36"/>
      <c r="F30" s="36"/>
      <c r="G30" s="36"/>
      <c r="H30" s="36"/>
      <c r="I30" s="36"/>
      <c r="J30" s="36"/>
      <c r="K30" s="36"/>
      <c r="L30" s="36"/>
    </row>
    <row r="31" spans="1:12" x14ac:dyDescent="0.25">
      <c r="A31" s="92" t="s">
        <v>21</v>
      </c>
      <c r="B31" s="85" t="s">
        <v>214</v>
      </c>
      <c r="C31" s="36">
        <v>2.1782229937322616E-2</v>
      </c>
      <c r="D31" s="36">
        <v>4.2905184381875593E-2</v>
      </c>
      <c r="E31" s="36">
        <v>5.6877202471395945E-2</v>
      </c>
      <c r="F31" s="36">
        <v>0.11203292161465764</v>
      </c>
      <c r="G31" s="36">
        <v>0.10415920175927618</v>
      </c>
      <c r="H31" s="36">
        <v>0.20516585167863827</v>
      </c>
      <c r="I31" s="36">
        <v>0.17662290093811014</v>
      </c>
      <c r="J31" s="36">
        <v>0.34790001540782683</v>
      </c>
      <c r="K31" s="36">
        <v>0.20185474392926872</v>
      </c>
      <c r="L31" s="36">
        <v>0.39760001760894487</v>
      </c>
    </row>
    <row r="32" spans="1:12" x14ac:dyDescent="0.25">
      <c r="A32" s="39" t="s">
        <v>22</v>
      </c>
      <c r="B32" s="96" t="s">
        <v>218</v>
      </c>
      <c r="C32" s="36">
        <v>0.125</v>
      </c>
      <c r="D32" s="36">
        <v>0.32874187500000002</v>
      </c>
      <c r="E32" s="36">
        <v>0.23599999999999999</v>
      </c>
      <c r="F32" s="36">
        <v>0.62066466000000009</v>
      </c>
      <c r="G32" s="36">
        <v>0.379</v>
      </c>
      <c r="H32" s="36">
        <v>0.99674536500000011</v>
      </c>
      <c r="I32" s="36">
        <v>0.55600000000000005</v>
      </c>
      <c r="J32" s="36">
        <v>1.4622438600000003</v>
      </c>
      <c r="K32" s="37">
        <v>0.79100000000000004</v>
      </c>
      <c r="L32" s="36">
        <v>2.0802785849999998</v>
      </c>
    </row>
    <row r="33" spans="1:12" x14ac:dyDescent="0.25">
      <c r="A33" s="93" t="s">
        <v>22</v>
      </c>
      <c r="B33" s="85" t="s">
        <v>214</v>
      </c>
      <c r="C33" s="36">
        <v>0.15392749325002175</v>
      </c>
      <c r="D33" s="36">
        <v>0.40481930196049593</v>
      </c>
      <c r="E33" s="36">
        <v>0.37893651576316562</v>
      </c>
      <c r="F33" s="36">
        <v>0.99657840558360089</v>
      </c>
      <c r="G33" s="36">
        <v>0.59538658646021636</v>
      </c>
      <c r="H33" s="36">
        <v>1.5658280222622489</v>
      </c>
      <c r="I33" s="36">
        <v>0.84971838900000141</v>
      </c>
      <c r="J33" s="36">
        <v>2.2347041313747185</v>
      </c>
      <c r="K33" s="36">
        <v>1.3428742516056231</v>
      </c>
      <c r="L33" s="36">
        <v>3.5316719948964348</v>
      </c>
    </row>
    <row r="34" spans="1:12" x14ac:dyDescent="0.25">
      <c r="A34" s="39" t="s">
        <v>23</v>
      </c>
      <c r="B34" s="96" t="s">
        <v>218</v>
      </c>
      <c r="C34" s="36">
        <v>0.20599999999999999</v>
      </c>
      <c r="D34" s="36">
        <v>0.54176661000000004</v>
      </c>
      <c r="E34" s="36">
        <v>0.41299999999999998</v>
      </c>
      <c r="F34" s="36">
        <v>1.0861631549999999</v>
      </c>
      <c r="G34" s="36">
        <v>0.69499999999999995</v>
      </c>
      <c r="H34" s="36">
        <v>1.8278048250000001</v>
      </c>
      <c r="I34" s="36">
        <v>1.06</v>
      </c>
      <c r="J34" s="36">
        <v>2.7877310999999998</v>
      </c>
      <c r="K34" s="37">
        <v>1.516</v>
      </c>
      <c r="L34" s="36">
        <v>3.9869814600000004</v>
      </c>
    </row>
    <row r="35" spans="1:12" x14ac:dyDescent="0.25">
      <c r="A35" s="93" t="s">
        <v>23</v>
      </c>
      <c r="B35" s="85" t="s">
        <v>214</v>
      </c>
      <c r="C35" s="36">
        <v>0.21657651092854194</v>
      </c>
      <c r="D35" s="36">
        <v>0.56958214626885495</v>
      </c>
      <c r="E35" s="36">
        <v>0.52885328240384577</v>
      </c>
      <c r="F35" s="36">
        <v>1.3908497572587581</v>
      </c>
      <c r="G35" s="36">
        <v>0.77421299017539003</v>
      </c>
      <c r="H35" s="36">
        <v>2.0361298403169146</v>
      </c>
      <c r="I35" s="36">
        <v>1.139698442797263</v>
      </c>
      <c r="J35" s="36">
        <v>2.9973328241580197</v>
      </c>
      <c r="K35" s="36">
        <v>1.8531260035092387</v>
      </c>
      <c r="L35" s="36">
        <v>4.8736009360390691</v>
      </c>
    </row>
    <row r="36" spans="1:12" x14ac:dyDescent="0.25">
      <c r="A36" s="38" t="s">
        <v>24</v>
      </c>
      <c r="B36" s="88" t="s">
        <v>95</v>
      </c>
      <c r="C36" s="36">
        <v>8.8111193844626467E-3</v>
      </c>
      <c r="D36" s="36">
        <f>'Total especies y métodos'!D34</f>
        <v>3.769774343225004E-3</v>
      </c>
      <c r="E36" s="36">
        <f>'Total especies y métodos'!E34</f>
        <v>4.2000000000000003E-2</v>
      </c>
      <c r="F36" s="36">
        <f>'Total especies y métodos'!F34</f>
        <v>2.2674170139378728E-2</v>
      </c>
      <c r="G36" s="36">
        <f>'Total especies y métodos'!G34</f>
        <v>4.8687782805429861E-2</v>
      </c>
      <c r="H36" s="36">
        <f>'Total especies y métodos'!H34</f>
        <v>2.720900416725448E-2</v>
      </c>
      <c r="I36" s="36">
        <f>'Total especies y métodos'!I34</f>
        <v>0.15</v>
      </c>
      <c r="J36" s="36">
        <f>'Total especies y métodos'!J34</f>
        <v>6.9703150798753E-2</v>
      </c>
      <c r="K36" s="36">
        <f>'Total especies y métodos'!K34</f>
        <v>0.13102971665514859</v>
      </c>
      <c r="L36" s="36">
        <f>'Total especies y métodos'!L34</f>
        <v>0.22629552729785765</v>
      </c>
    </row>
    <row r="37" spans="1:12" x14ac:dyDescent="0.25">
      <c r="A37" s="39" t="s">
        <v>24</v>
      </c>
      <c r="B37" s="96" t="s">
        <v>218</v>
      </c>
      <c r="C37" s="36">
        <v>4.2571428571428573E-2</v>
      </c>
      <c r="D37" s="36">
        <v>7.3523198571428569E-2</v>
      </c>
      <c r="E37" s="36">
        <v>5.3214285714285714E-2</v>
      </c>
      <c r="F37" s="36">
        <v>9.1903998214285701E-2</v>
      </c>
      <c r="G37" s="36">
        <v>6.3857142857142848E-2</v>
      </c>
      <c r="H37" s="36">
        <v>0.11028479785714285</v>
      </c>
      <c r="I37" s="36">
        <v>7.4499999999999997E-2</v>
      </c>
      <c r="J37" s="36">
        <v>0.12866559750000001</v>
      </c>
      <c r="K37" s="36">
        <v>8.5142857142857145E-2</v>
      </c>
      <c r="L37" s="36">
        <v>0.14704639714285714</v>
      </c>
    </row>
    <row r="38" spans="1:12" x14ac:dyDescent="0.25">
      <c r="A38" s="93" t="s">
        <v>24</v>
      </c>
      <c r="B38" s="85" t="s">
        <v>214</v>
      </c>
      <c r="C38" s="36">
        <v>2.6003723150912643E-2</v>
      </c>
      <c r="D38" s="36">
        <v>4.4909860086399439E-2</v>
      </c>
      <c r="E38" s="36">
        <v>3.2504653938640805E-2</v>
      </c>
      <c r="F38" s="36">
        <v>5.6137325107999299E-2</v>
      </c>
      <c r="G38" s="36">
        <v>3.9005584726368968E-2</v>
      </c>
      <c r="H38" s="36">
        <v>6.7364790129599159E-2</v>
      </c>
      <c r="I38" s="36">
        <v>4.5506515514097123E-2</v>
      </c>
      <c r="J38" s="36">
        <v>7.8592255151199011E-2</v>
      </c>
      <c r="K38" s="36">
        <v>5.2007446301825286E-2</v>
      </c>
      <c r="L38" s="36">
        <v>8.9819720172798878E-2</v>
      </c>
    </row>
    <row r="39" spans="1:12" x14ac:dyDescent="0.25">
      <c r="A39" s="136" t="s">
        <v>24</v>
      </c>
      <c r="B39" s="135"/>
      <c r="C39" s="36"/>
      <c r="D39" s="36">
        <v>3.2941541673333324E-2</v>
      </c>
      <c r="E39" s="36"/>
      <c r="F39" s="36">
        <v>5.5124144023437502E-2</v>
      </c>
      <c r="G39" s="36"/>
      <c r="H39" s="36">
        <v>0.11843504199999999</v>
      </c>
      <c r="I39" s="36"/>
      <c r="J39" s="36">
        <v>0.17066866221913576</v>
      </c>
      <c r="K39" s="36"/>
      <c r="L39" s="36">
        <v>0.24759816345000005</v>
      </c>
    </row>
    <row r="40" spans="1:12" x14ac:dyDescent="0.25">
      <c r="A40" s="39" t="s">
        <v>1</v>
      </c>
      <c r="B40" s="96" t="s">
        <v>218</v>
      </c>
      <c r="C40" s="36">
        <v>5.5E-2</v>
      </c>
      <c r="D40" s="36">
        <v>0.12587226666666668</v>
      </c>
      <c r="E40" s="36">
        <v>6.8750000000000006E-2</v>
      </c>
      <c r="F40" s="36">
        <v>0.15734033333333336</v>
      </c>
      <c r="G40" s="36">
        <v>8.2500000000000004E-2</v>
      </c>
      <c r="H40" s="36">
        <v>0.18880840000000004</v>
      </c>
      <c r="I40" s="36">
        <v>9.6250000000000002E-2</v>
      </c>
      <c r="J40" s="36">
        <v>0.22027646666666667</v>
      </c>
      <c r="K40" s="37">
        <v>0.11</v>
      </c>
      <c r="L40" s="36">
        <v>0.25174453333333335</v>
      </c>
    </row>
    <row r="41" spans="1:12" x14ac:dyDescent="0.25">
      <c r="A41" s="93" t="s">
        <v>1</v>
      </c>
      <c r="B41" s="85" t="s">
        <v>214</v>
      </c>
      <c r="C41" s="36">
        <v>3.9761341679913867E-2</v>
      </c>
      <c r="D41" s="36">
        <v>9.0997276417428483E-2</v>
      </c>
      <c r="E41" s="36">
        <v>4.970167709989233E-2</v>
      </c>
      <c r="F41" s="36">
        <v>0.11374659552178558</v>
      </c>
      <c r="G41" s="36">
        <v>8.0707300439288143E-2</v>
      </c>
      <c r="H41" s="36">
        <v>0.18470565168801564</v>
      </c>
      <c r="I41" s="36">
        <v>0.12556522035551965</v>
      </c>
      <c r="J41" s="36">
        <v>0.28736688910270414</v>
      </c>
      <c r="K41" s="36">
        <v>0.14350310897773672</v>
      </c>
      <c r="L41" s="36">
        <v>0.32841930183166185</v>
      </c>
    </row>
    <row r="42" spans="1:12" x14ac:dyDescent="0.25">
      <c r="A42" s="92" t="s">
        <v>25</v>
      </c>
      <c r="B42" s="85" t="s">
        <v>214</v>
      </c>
      <c r="C42" s="36">
        <v>1.6425143721851405E-2</v>
      </c>
      <c r="D42" s="36">
        <v>3.1871348877880464E-2</v>
      </c>
      <c r="E42" s="36">
        <v>2.0531429652314255E-2</v>
      </c>
      <c r="F42" s="36">
        <v>3.9839186097350585E-2</v>
      </c>
      <c r="G42" s="36">
        <v>2.4637715582777105E-2</v>
      </c>
      <c r="H42" s="36">
        <v>4.7807023316820692E-2</v>
      </c>
      <c r="I42" s="36">
        <v>4.3231905657951541E-2</v>
      </c>
      <c r="J42" s="36">
        <v>8.388718973868918E-2</v>
      </c>
      <c r="K42" s="36">
        <v>4.9407892180516048E-2</v>
      </c>
      <c r="L42" s="36">
        <v>9.5871073987073341E-2</v>
      </c>
    </row>
    <row r="43" spans="1:12" x14ac:dyDescent="0.25">
      <c r="A43" s="92" t="s">
        <v>26</v>
      </c>
      <c r="B43" s="85" t="s">
        <v>214</v>
      </c>
      <c r="C43" s="36">
        <v>1.8499049966165151E-2</v>
      </c>
      <c r="D43" s="36">
        <v>3.5895556554346862E-2</v>
      </c>
      <c r="E43" s="36">
        <v>2.3123812457706443E-2</v>
      </c>
      <c r="F43" s="36">
        <v>4.4869445692933579E-2</v>
      </c>
      <c r="G43" s="36">
        <v>2.7748574949247731E-2</v>
      </c>
      <c r="H43" s="36">
        <v>5.3843334831520297E-2</v>
      </c>
      <c r="I43" s="36">
        <v>6.189334461449373E-2</v>
      </c>
      <c r="J43" s="36">
        <v>0.12009784588996364</v>
      </c>
      <c r="K43" s="36">
        <v>7.073525098799284E-2</v>
      </c>
      <c r="L43" s="36">
        <v>0.13725468101710131</v>
      </c>
    </row>
    <row r="44" spans="1:12" x14ac:dyDescent="0.25">
      <c r="A44" s="92" t="s">
        <v>204</v>
      </c>
      <c r="B44" s="85" t="s">
        <v>214</v>
      </c>
      <c r="C44" s="36">
        <v>5.7798455470010439E-3</v>
      </c>
      <c r="D44" s="36">
        <v>1.138475443544619E-2</v>
      </c>
      <c r="E44" s="36">
        <v>7.224806933751304E-3</v>
      </c>
      <c r="F44" s="36">
        <v>1.4230943044307736E-2</v>
      </c>
      <c r="G44" s="36">
        <v>8.6697683205015658E-3</v>
      </c>
      <c r="H44" s="36">
        <v>1.7077131653169285E-2</v>
      </c>
      <c r="I44" s="36">
        <v>1.0114729707251826E-2</v>
      </c>
      <c r="J44" s="36">
        <v>1.9923320262030829E-2</v>
      </c>
      <c r="K44" s="36">
        <v>1.1559691094002088E-2</v>
      </c>
      <c r="L44" s="36">
        <v>2.276950887089238E-2</v>
      </c>
    </row>
    <row r="45" spans="1:12" x14ac:dyDescent="0.25">
      <c r="A45" s="92" t="s">
        <v>205</v>
      </c>
      <c r="B45" s="85" t="s">
        <v>214</v>
      </c>
      <c r="C45" s="36">
        <v>9.5725715263053086E-3</v>
      </c>
      <c r="D45" s="36">
        <v>1.885541322108111E-2</v>
      </c>
      <c r="E45" s="36">
        <v>1.1965714407881635E-2</v>
      </c>
      <c r="F45" s="36">
        <v>2.3569266526351388E-2</v>
      </c>
      <c r="G45" s="36">
        <v>1.4358857289457962E-2</v>
      </c>
      <c r="H45" s="36">
        <v>2.8283119831621666E-2</v>
      </c>
      <c r="I45" s="36">
        <v>1.675200017103429E-2</v>
      </c>
      <c r="J45" s="36">
        <v>3.2996973136891941E-2</v>
      </c>
      <c r="K45" s="36">
        <v>1.9145143052610617E-2</v>
      </c>
      <c r="L45" s="36">
        <v>3.7710826442162219E-2</v>
      </c>
    </row>
    <row r="46" spans="1:12" x14ac:dyDescent="0.25">
      <c r="A46" s="92" t="s">
        <v>107</v>
      </c>
      <c r="B46" s="85" t="s">
        <v>214</v>
      </c>
      <c r="C46" s="36">
        <v>7.0783056874107976E-3</v>
      </c>
      <c r="D46" s="36">
        <v>1.3942374656015961E-2</v>
      </c>
      <c r="E46" s="36">
        <v>8.8478821092634972E-3</v>
      </c>
      <c r="F46" s="36">
        <v>1.742796832001995E-2</v>
      </c>
      <c r="G46" s="36">
        <v>1.0617458531116196E-2</v>
      </c>
      <c r="H46" s="36">
        <v>2.0913561984023939E-2</v>
      </c>
      <c r="I46" s="36">
        <v>1.2387034952968895E-2</v>
      </c>
      <c r="J46" s="36">
        <v>2.4399155648027929E-2</v>
      </c>
      <c r="K46" s="36">
        <v>1.4156611374821595E-2</v>
      </c>
      <c r="L46" s="36">
        <v>2.7884749312031921E-2</v>
      </c>
    </row>
    <row r="47" spans="1:12" x14ac:dyDescent="0.25">
      <c r="A47" s="305" t="s">
        <v>206</v>
      </c>
      <c r="B47" s="318" t="s">
        <v>214</v>
      </c>
      <c r="C47" s="36">
        <f>'Q.ilex_Q.suber y Larix'!B2</f>
        <v>0.22804054532011345</v>
      </c>
      <c r="D47" s="36">
        <f>'Q.ilex_Q.suber y Larix'!C2</f>
        <v>0.34382433153064573</v>
      </c>
      <c r="E47" s="36">
        <f>'Q.ilex_Q.suber y Larix'!D2</f>
        <v>0.2850506816501418</v>
      </c>
      <c r="F47" s="36">
        <f>'Q.ilex_Q.suber y Larix'!E2</f>
        <v>0.42978041441330711</v>
      </c>
      <c r="G47" s="36">
        <f>'Q.ilex_Q.suber y Larix'!F2</f>
        <v>0.34206081798017018</v>
      </c>
      <c r="H47" s="36">
        <f>'Q.ilex_Q.suber y Larix'!G2</f>
        <v>0.5157364972959686</v>
      </c>
      <c r="I47" s="36">
        <f>'Q.ilex_Q.suber y Larix'!H2</f>
        <v>0.39907095431019857</v>
      </c>
      <c r="J47" s="36">
        <f>'Q.ilex_Q.suber y Larix'!I2</f>
        <v>0.60169258017863003</v>
      </c>
      <c r="K47" s="36">
        <f>'Q.ilex_Q.suber y Larix'!J2</f>
        <v>0.45608109064022689</v>
      </c>
      <c r="L47" s="36">
        <f>'Q.ilex_Q.suber y Larix'!K2</f>
        <v>0.68764866306129147</v>
      </c>
    </row>
    <row r="48" spans="1:12" x14ac:dyDescent="0.25">
      <c r="A48" s="2" t="s">
        <v>27</v>
      </c>
      <c r="B48" s="87"/>
      <c r="C48" s="36"/>
      <c r="D48" s="36"/>
      <c r="E48" s="36"/>
      <c r="F48" s="36"/>
      <c r="G48" s="36"/>
      <c r="H48" s="36"/>
      <c r="I48" s="36"/>
      <c r="J48" s="36"/>
      <c r="K48" s="36"/>
      <c r="L48" s="36"/>
    </row>
    <row r="49" spans="1:12" x14ac:dyDescent="0.25">
      <c r="A49" s="2" t="s">
        <v>28</v>
      </c>
      <c r="B49" s="90"/>
      <c r="C49" s="36"/>
      <c r="D49" s="36"/>
      <c r="E49" s="36"/>
      <c r="F49" s="36"/>
      <c r="G49" s="36"/>
      <c r="H49" s="36"/>
      <c r="I49" s="36"/>
      <c r="J49" s="36"/>
      <c r="K49" s="36"/>
      <c r="L49" s="36"/>
    </row>
    <row r="50" spans="1:12" x14ac:dyDescent="0.25">
      <c r="A50" s="2" t="s">
        <v>29</v>
      </c>
      <c r="B50" s="87"/>
      <c r="C50" s="36"/>
      <c r="D50" s="36"/>
      <c r="E50" s="36"/>
      <c r="F50" s="36"/>
      <c r="G50" s="36"/>
      <c r="H50" s="36"/>
      <c r="I50" s="36"/>
      <c r="J50" s="36"/>
      <c r="K50" s="36"/>
      <c r="L50" s="36"/>
    </row>
    <row r="51" spans="1:12" x14ac:dyDescent="0.25">
      <c r="A51" s="2" t="s">
        <v>33</v>
      </c>
      <c r="B51" s="87"/>
      <c r="C51" s="36"/>
      <c r="D51" s="36"/>
      <c r="E51" s="36"/>
      <c r="F51" s="36"/>
      <c r="G51" s="36"/>
      <c r="H51" s="36"/>
      <c r="I51" s="36"/>
      <c r="J51" s="36"/>
      <c r="K51" s="36"/>
      <c r="L51" s="36"/>
    </row>
    <row r="52" spans="1:12" x14ac:dyDescent="0.25">
      <c r="A52" s="2" t="s">
        <v>34</v>
      </c>
      <c r="B52" s="87"/>
      <c r="C52" s="36"/>
      <c r="D52" s="36"/>
      <c r="E52" s="36"/>
      <c r="F52" s="36"/>
      <c r="G52" s="36"/>
      <c r="H52" s="36"/>
      <c r="I52" s="36"/>
      <c r="J52" s="36"/>
      <c r="K52" s="36"/>
      <c r="L52" s="36"/>
    </row>
    <row r="53" spans="1:12" x14ac:dyDescent="0.25">
      <c r="A53" s="92" t="s">
        <v>186</v>
      </c>
      <c r="B53" s="85" t="s">
        <v>214</v>
      </c>
      <c r="C53" s="36">
        <v>1.275303928793441E-2</v>
      </c>
      <c r="D53" s="36">
        <v>3.8995053250978962E-2</v>
      </c>
      <c r="E53" s="36">
        <v>1.5941299109918011E-2</v>
      </c>
      <c r="F53" s="36">
        <v>4.8743816563723702E-2</v>
      </c>
      <c r="G53" s="36">
        <v>2.7498353715506931E-2</v>
      </c>
      <c r="H53" s="36">
        <v>8.4081899478263639E-2</v>
      </c>
      <c r="I53" s="36">
        <v>3.2081412668091419E-2</v>
      </c>
      <c r="J53" s="36">
        <v>9.8095549391307588E-2</v>
      </c>
      <c r="K53" s="36">
        <v>3.6664471620675911E-2</v>
      </c>
      <c r="L53" s="36">
        <v>0.11210919930435154</v>
      </c>
    </row>
    <row r="54" spans="1:12" x14ac:dyDescent="0.25">
      <c r="A54" s="92" t="s">
        <v>39</v>
      </c>
      <c r="B54" s="85" t="s">
        <v>214</v>
      </c>
      <c r="C54" s="36">
        <v>1.3060539347216366E-2</v>
      </c>
      <c r="D54" s="36">
        <v>2.5342670549338638E-2</v>
      </c>
      <c r="E54" s="36">
        <v>1.6325674184020457E-2</v>
      </c>
      <c r="F54" s="36">
        <v>3.1678338186673295E-2</v>
      </c>
      <c r="G54" s="36">
        <v>4.6052327221534919E-2</v>
      </c>
      <c r="H54" s="36">
        <v>8.9359935740666363E-2</v>
      </c>
      <c r="I54" s="36">
        <v>8.8288764449473867E-2</v>
      </c>
      <c r="J54" s="36">
        <v>0.17131551853775909</v>
      </c>
      <c r="K54" s="36">
        <v>0.10090144508511299</v>
      </c>
      <c r="L54" s="36">
        <v>0.19578916404315322</v>
      </c>
    </row>
    <row r="55" spans="1:12" x14ac:dyDescent="0.25">
      <c r="A55" s="2" t="s">
        <v>40</v>
      </c>
      <c r="B55" s="87"/>
      <c r="C55" s="36"/>
      <c r="D55" s="36"/>
      <c r="E55" s="36"/>
      <c r="F55" s="36"/>
      <c r="G55" s="36"/>
      <c r="H55" s="36"/>
      <c r="I55" s="36"/>
      <c r="J55" s="36"/>
      <c r="K55" s="36"/>
      <c r="L55" s="36"/>
    </row>
    <row r="56" spans="1:12" x14ac:dyDescent="0.25">
      <c r="A56" s="2" t="s">
        <v>41</v>
      </c>
      <c r="B56" s="87"/>
      <c r="C56" s="37"/>
      <c r="D56" s="37"/>
      <c r="E56" s="37"/>
      <c r="F56" s="37"/>
      <c r="G56" s="37"/>
      <c r="H56" s="37"/>
      <c r="I56" s="37"/>
      <c r="J56" s="37"/>
      <c r="K56" s="37"/>
      <c r="L56" s="37"/>
    </row>
    <row r="57" spans="1:12" x14ac:dyDescent="0.25">
      <c r="A57" s="39" t="s">
        <v>42</v>
      </c>
      <c r="B57" s="96" t="s">
        <v>218</v>
      </c>
      <c r="C57" s="37">
        <v>4.8500000000000001E-2</v>
      </c>
      <c r="D57" s="37">
        <v>6.1570345833333325E-2</v>
      </c>
      <c r="E57" s="37">
        <v>6.0624999999999991E-2</v>
      </c>
      <c r="F57" s="37">
        <v>7.6962932291666661E-2</v>
      </c>
      <c r="G57" s="37">
        <v>7.2749999999999995E-2</v>
      </c>
      <c r="H57" s="37">
        <v>9.235551874999999E-2</v>
      </c>
      <c r="I57" s="37">
        <v>8.4875000000000006E-2</v>
      </c>
      <c r="J57" s="37">
        <v>0.10774810520833335</v>
      </c>
      <c r="K57" s="37">
        <v>9.7000000000000003E-2</v>
      </c>
      <c r="L57" s="37">
        <v>0.12314069166666665</v>
      </c>
    </row>
    <row r="58" spans="1:12" x14ac:dyDescent="0.25">
      <c r="A58" s="93" t="s">
        <v>42</v>
      </c>
      <c r="B58" s="85" t="s">
        <v>214</v>
      </c>
      <c r="C58" s="36">
        <v>2.0911777452768961E-2</v>
      </c>
      <c r="D58" s="36">
        <v>2.6547327211478084E-2</v>
      </c>
      <c r="E58" s="36">
        <v>5.3836633176261334E-2</v>
      </c>
      <c r="F58" s="36">
        <v>6.8345157178653956E-2</v>
      </c>
      <c r="G58" s="36">
        <v>0.10661669545555842</v>
      </c>
      <c r="H58" s="36">
        <v>0.13534900640836928</v>
      </c>
      <c r="I58" s="36">
        <v>0.12438614469815149</v>
      </c>
      <c r="J58" s="36">
        <v>0.15790717414309749</v>
      </c>
      <c r="K58" s="36">
        <v>0.14215559394074456</v>
      </c>
      <c r="L58" s="36">
        <v>0.1804653418778257</v>
      </c>
    </row>
    <row r="59" spans="1:12" x14ac:dyDescent="0.25">
      <c r="A59" s="38" t="s">
        <v>43</v>
      </c>
      <c r="B59" s="88" t="s">
        <v>243</v>
      </c>
      <c r="C59" s="36"/>
      <c r="D59" s="36">
        <v>0</v>
      </c>
      <c r="E59" s="36"/>
      <c r="F59" s="36">
        <v>5.7257669413919412E-3</v>
      </c>
      <c r="G59" s="36"/>
      <c r="H59" s="36">
        <v>1.6673433333333335E-2</v>
      </c>
      <c r="I59" s="36"/>
      <c r="J59" s="36">
        <v>3.6539242599000384E-2</v>
      </c>
      <c r="K59" s="36"/>
      <c r="L59" s="36">
        <v>7.085028328611899E-2</v>
      </c>
    </row>
    <row r="60" spans="1:12" x14ac:dyDescent="0.25">
      <c r="A60" s="39" t="s">
        <v>43</v>
      </c>
      <c r="B60" s="96" t="s">
        <v>218</v>
      </c>
      <c r="C60" s="37">
        <v>3.8799999999999994E-2</v>
      </c>
      <c r="D60" s="37">
        <v>6.4692921333333334E-2</v>
      </c>
      <c r="E60" s="37">
        <v>4.8500000000000001E-2</v>
      </c>
      <c r="F60" s="37">
        <v>8.086615166666665E-2</v>
      </c>
      <c r="G60" s="37">
        <v>5.8199999999999995E-2</v>
      </c>
      <c r="H60" s="37">
        <v>9.7039382000000007E-2</v>
      </c>
      <c r="I60" s="37">
        <v>6.7899999999999988E-2</v>
      </c>
      <c r="J60" s="37">
        <v>0.11321261233333332</v>
      </c>
      <c r="K60" s="37">
        <v>0.12938584266666667</v>
      </c>
      <c r="L60" s="37">
        <v>7.7599999999999988E-2</v>
      </c>
    </row>
    <row r="61" spans="1:12" x14ac:dyDescent="0.25">
      <c r="A61" s="93" t="s">
        <v>43</v>
      </c>
      <c r="B61" s="85" t="s">
        <v>214</v>
      </c>
      <c r="C61" s="36">
        <v>1.8469139953884307E-2</v>
      </c>
      <c r="D61" s="392">
        <v>3.079439737450931E-2</v>
      </c>
      <c r="E61" s="392">
        <v>2.3086424942355382E-2</v>
      </c>
      <c r="F61" s="392">
        <v>3.8492996718136628E-2</v>
      </c>
      <c r="G61" s="392">
        <v>4.9293523056054722E-2</v>
      </c>
      <c r="H61" s="392">
        <v>8.21892270440258E-2</v>
      </c>
      <c r="I61" s="392">
        <v>4.4133364500346293E-2</v>
      </c>
      <c r="J61" s="393">
        <v>0.1375600979341646</v>
      </c>
      <c r="K61" s="392">
        <v>9.4288643108610765E-2</v>
      </c>
      <c r="L61" s="392">
        <v>0.15721154049618813</v>
      </c>
    </row>
    <row r="62" spans="1:12" x14ac:dyDescent="0.25">
      <c r="A62" s="136" t="s">
        <v>43</v>
      </c>
      <c r="B62" s="135"/>
      <c r="C62" s="36"/>
      <c r="D62" s="36">
        <v>2.0321507946666668E-2</v>
      </c>
      <c r="E62" s="36"/>
      <c r="F62" s="36">
        <v>2.666379298E-2</v>
      </c>
      <c r="G62" s="36"/>
      <c r="H62" s="36">
        <v>4.0266540526666651E-2</v>
      </c>
      <c r="I62" s="36"/>
      <c r="J62" s="36">
        <v>6.1635670506666677E-2</v>
      </c>
      <c r="K62" s="36"/>
      <c r="L62" s="36">
        <v>9.3176129566666682E-2</v>
      </c>
    </row>
    <row r="63" spans="1:12" x14ac:dyDescent="0.25">
      <c r="A63" s="190" t="s">
        <v>44</v>
      </c>
      <c r="B63" s="88" t="s">
        <v>94</v>
      </c>
      <c r="C63" s="37">
        <v>5.2527131782945741E-2</v>
      </c>
      <c r="D63" s="37">
        <f>'Total especies y métodos'!D62</f>
        <v>3.4157697129970299E-2</v>
      </c>
      <c r="E63" s="37">
        <f>'Total especies y métodos'!E62</f>
        <v>6.6000000000000003E-2</v>
      </c>
      <c r="F63" s="37">
        <f>'Total especies y métodos'!F62</f>
        <v>4.2697121412462874E-2</v>
      </c>
      <c r="G63" s="37">
        <f>'Total especies y métodos'!G62</f>
        <v>7.8790697674418611E-2</v>
      </c>
      <c r="H63" s="37">
        <f>'Total especies y métodos'!H62</f>
        <v>5.1236545694955449E-2</v>
      </c>
      <c r="I63" s="37">
        <f>'Total especies y métodos'!I62</f>
        <v>0.106</v>
      </c>
      <c r="J63" s="37">
        <f>'Total especies y métodos'!J62</f>
        <v>0.10884537979242993</v>
      </c>
      <c r="K63" s="37">
        <f>'Total especies y métodos'!K62</f>
        <v>0.18160469667318982</v>
      </c>
      <c r="L63" s="37">
        <f>'Total especies y métodos'!L62</f>
        <v>0.12636076078387784</v>
      </c>
    </row>
    <row r="64" spans="1:12" x14ac:dyDescent="0.25">
      <c r="A64" s="39" t="s">
        <v>44</v>
      </c>
      <c r="B64" s="96" t="s">
        <v>218</v>
      </c>
      <c r="C64" s="36">
        <v>4.3999999999999997E-2</v>
      </c>
      <c r="D64" s="36">
        <v>6.4017066666666664E-2</v>
      </c>
      <c r="E64" s="36">
        <v>5.5000000000000007E-2</v>
      </c>
      <c r="F64" s="36">
        <v>8.0021333333333347E-2</v>
      </c>
      <c r="G64" s="36">
        <v>6.6000000000000003E-2</v>
      </c>
      <c r="H64" s="36">
        <v>9.6025599999999989E-2</v>
      </c>
      <c r="I64" s="36">
        <v>7.6999999999999999E-2</v>
      </c>
      <c r="J64" s="36">
        <v>0.11202986666666667</v>
      </c>
      <c r="K64" s="37">
        <v>8.7999999999999995E-2</v>
      </c>
      <c r="L64" s="36">
        <v>0.12803413333333333</v>
      </c>
    </row>
    <row r="65" spans="1:12" x14ac:dyDescent="0.25">
      <c r="A65" s="93" t="s">
        <v>44</v>
      </c>
      <c r="B65" s="85" t="s">
        <v>214</v>
      </c>
      <c r="C65" s="36">
        <v>1.7920503247184628E-2</v>
      </c>
      <c r="D65" s="36">
        <v>2.6073137524437157E-2</v>
      </c>
      <c r="E65" s="36">
        <v>2.2400629058980784E-2</v>
      </c>
      <c r="F65" s="36">
        <v>3.2591421905546439E-2</v>
      </c>
      <c r="G65" s="36">
        <v>5.4433981189938044E-2</v>
      </c>
      <c r="H65" s="36">
        <v>7.9197813699280514E-2</v>
      </c>
      <c r="I65" s="36">
        <v>6.3506311388261058E-2</v>
      </c>
      <c r="J65" s="36">
        <v>9.2397449315827287E-2</v>
      </c>
      <c r="K65" s="36">
        <v>7.2578641586584058E-2</v>
      </c>
      <c r="L65" s="36">
        <v>0.10559708493237403</v>
      </c>
    </row>
    <row r="66" spans="1:12" x14ac:dyDescent="0.25">
      <c r="A66" s="136" t="s">
        <v>44</v>
      </c>
      <c r="B66" s="135"/>
      <c r="C66" s="36"/>
      <c r="D66" s="36">
        <v>0.18382044761299327</v>
      </c>
      <c r="E66" s="36"/>
      <c r="F66" s="36">
        <v>0.34826063882451141</v>
      </c>
      <c r="G66" s="36"/>
      <c r="H66" s="36">
        <v>0.57646899987068079</v>
      </c>
      <c r="I66" s="36"/>
      <c r="J66" s="36">
        <v>0.87455170971595497</v>
      </c>
      <c r="K66" s="36"/>
      <c r="L66" s="36">
        <v>1.2168313571830238</v>
      </c>
    </row>
    <row r="67" spans="1:12" x14ac:dyDescent="0.25">
      <c r="A67" s="506" t="s">
        <v>150</v>
      </c>
      <c r="B67" s="88" t="s">
        <v>153</v>
      </c>
      <c r="C67" s="37">
        <v>0.23955555555555555</v>
      </c>
      <c r="D67" s="37">
        <f>'Total especies y métodos'!D66</f>
        <v>0.2327115308614556</v>
      </c>
      <c r="E67" s="37">
        <f>'Total especies y métodos'!E66</f>
        <v>0.42199999999999999</v>
      </c>
      <c r="F67" s="37">
        <f>'Total especies y métodos'!F66</f>
        <v>0.40856203182870365</v>
      </c>
      <c r="G67" s="37">
        <f>'Total especies y métodos'!G66</f>
        <v>0.78600000000000003</v>
      </c>
      <c r="H67" s="37">
        <f>'Total especies y métodos'!H66</f>
        <v>0.58249493630952376</v>
      </c>
      <c r="I67" s="37">
        <f>'Total especies y métodos'!I66</f>
        <v>0.86799999999999999</v>
      </c>
      <c r="J67" s="37">
        <f>'Total especies y métodos'!J66</f>
        <v>0.74304199720492636</v>
      </c>
      <c r="K67" s="37">
        <f>'Total especies y métodos'!K66</f>
        <v>1.3740000000000001</v>
      </c>
      <c r="L67" s="37">
        <f>'Total especies y métodos'!L66</f>
        <v>0.91206257563956428</v>
      </c>
    </row>
    <row r="68" spans="1:12" x14ac:dyDescent="0.25">
      <c r="A68" s="507"/>
      <c r="B68" s="88" t="s">
        <v>154</v>
      </c>
      <c r="C68" s="37">
        <v>0.35216666666666668</v>
      </c>
      <c r="D68" s="37">
        <f>'Total especies y métodos'!D67</f>
        <v>0.32827964901620366</v>
      </c>
      <c r="E68" s="37">
        <f>'Total especies y métodos'!E67</f>
        <v>1.4219999999999999</v>
      </c>
      <c r="F68" s="37">
        <f>'Total especies y métodos'!F67</f>
        <v>0.53815745067959075</v>
      </c>
      <c r="G68" s="37">
        <f>'Total especies y métodos'!G67</f>
        <v>1.786</v>
      </c>
      <c r="H68" s="37">
        <f>'Total especies y métodos'!H67</f>
        <v>0.69121584652967782</v>
      </c>
      <c r="I68" s="37">
        <f>'Total especies y métodos'!I67</f>
        <v>1.8680000000000001</v>
      </c>
      <c r="J68" s="37">
        <f>'Total especies y métodos'!J67</f>
        <v>0.80641848761795754</v>
      </c>
      <c r="K68" s="37">
        <f>'Total especies y métodos'!K67</f>
        <v>2.3740000000000001</v>
      </c>
      <c r="L68" s="37">
        <f>'Total especies y métodos'!L67</f>
        <v>0.92162112870623725</v>
      </c>
    </row>
    <row r="69" spans="1:12" x14ac:dyDescent="0.25">
      <c r="A69" s="40" t="s">
        <v>45</v>
      </c>
      <c r="B69" s="96" t="s">
        <v>218</v>
      </c>
      <c r="C69" s="36">
        <v>0.109</v>
      </c>
      <c r="D69" s="36">
        <v>0.14123220833333333</v>
      </c>
      <c r="E69" s="36">
        <v>0.221</v>
      </c>
      <c r="F69" s="36">
        <v>0.28635154166666665</v>
      </c>
      <c r="G69" s="36">
        <v>0.379</v>
      </c>
      <c r="H69" s="36">
        <v>0.49107345833333343</v>
      </c>
      <c r="I69" s="36">
        <v>0.56899999999999995</v>
      </c>
      <c r="J69" s="36">
        <v>0.73725804166666664</v>
      </c>
      <c r="K69" s="37">
        <v>0.79900000000000004</v>
      </c>
      <c r="L69" s="36">
        <v>1.0352709583333333</v>
      </c>
    </row>
    <row r="70" spans="1:12" x14ac:dyDescent="0.25">
      <c r="A70" s="38" t="s">
        <v>151</v>
      </c>
      <c r="B70" s="88" t="s">
        <v>155</v>
      </c>
      <c r="C70" s="143">
        <v>4.0599999999999997E-2</v>
      </c>
      <c r="D70" s="143">
        <f>'Total especies y métodos'!D69</f>
        <v>0.11982849020241199</v>
      </c>
      <c r="E70" s="143">
        <f>'Total especies y métodos'!E69</f>
        <v>0.124475</v>
      </c>
      <c r="F70" s="143">
        <f>'Total especies y métodos'!F69</f>
        <v>0.14978561275301497</v>
      </c>
      <c r="G70" s="143">
        <f>'Total especies y métodos'!G69</f>
        <v>0.1981859410430839</v>
      </c>
      <c r="H70" s="143">
        <f>'Total especies y métodos'!H69</f>
        <v>0.17974273530361798</v>
      </c>
      <c r="I70" s="143">
        <f>'Total especies y métodos'!I69</f>
        <v>0.340225</v>
      </c>
      <c r="J70" s="143">
        <f>'Total especies y métodos'!J69</f>
        <v>0.26196202857543643</v>
      </c>
      <c r="K70" s="143">
        <f>'Total especies y métodos'!K69</f>
        <v>0.39999999999999997</v>
      </c>
      <c r="L70" s="143">
        <f>'Total especies y métodos'!L69</f>
        <v>0.35801687535521448</v>
      </c>
    </row>
    <row r="71" spans="1:12" x14ac:dyDescent="0.25">
      <c r="A71" s="39" t="s">
        <v>149</v>
      </c>
      <c r="B71" s="89"/>
      <c r="C71" s="36">
        <v>6.0666666666666667E-2</v>
      </c>
      <c r="D71" s="36">
        <v>7.8606305555555561E-2</v>
      </c>
      <c r="E71" s="36">
        <v>7.5833333333333322E-2</v>
      </c>
      <c r="F71" s="36">
        <v>9.8257881944444431E-2</v>
      </c>
      <c r="G71" s="36">
        <v>9.0999999999999998E-2</v>
      </c>
      <c r="H71" s="36">
        <v>0.11790945833333333</v>
      </c>
      <c r="I71" s="36">
        <v>0.15225</v>
      </c>
      <c r="J71" s="36">
        <v>0.19727159375</v>
      </c>
      <c r="K71" s="37">
        <v>0.17399999999999999</v>
      </c>
      <c r="L71" s="36">
        <v>0.22545325000000002</v>
      </c>
    </row>
    <row r="72" spans="1:12" x14ac:dyDescent="0.25">
      <c r="A72" s="93" t="s">
        <v>215</v>
      </c>
      <c r="B72" s="85" t="s">
        <v>214</v>
      </c>
      <c r="C72" s="36">
        <v>1.7414482645901213E-2</v>
      </c>
      <c r="D72" s="36">
        <v>2.2564090284982921E-2</v>
      </c>
      <c r="E72" s="36">
        <v>2.1768103307376517E-2</v>
      </c>
      <c r="F72" s="36">
        <v>2.8205112856228648E-2</v>
      </c>
      <c r="G72" s="36">
        <v>2.6121723968851821E-2</v>
      </c>
      <c r="H72" s="36">
        <v>3.3846135427474382E-2</v>
      </c>
      <c r="I72" s="36">
        <v>6.1389279326479446E-2</v>
      </c>
      <c r="J72" s="36">
        <v>7.9542600800647137E-2</v>
      </c>
      <c r="K72" s="36">
        <v>7.0159176373119372E-2</v>
      </c>
      <c r="L72" s="36">
        <v>9.0905829486453871E-2</v>
      </c>
    </row>
    <row r="73" spans="1:12" x14ac:dyDescent="0.25">
      <c r="A73" s="136" t="s">
        <v>215</v>
      </c>
      <c r="B73" s="135"/>
      <c r="C73" s="36"/>
      <c r="D73" s="36">
        <v>7.332910309194092E-2</v>
      </c>
      <c r="E73" s="36"/>
      <c r="F73" s="36">
        <v>0.13408913811397005</v>
      </c>
      <c r="G73" s="36"/>
      <c r="H73" s="36">
        <v>0.2198004832699853</v>
      </c>
      <c r="I73" s="36"/>
      <c r="J73" s="36">
        <v>0.334057288896078</v>
      </c>
      <c r="K73" s="36"/>
      <c r="L73" s="36">
        <v>0.42209200204030534</v>
      </c>
    </row>
    <row r="74" spans="1:12" x14ac:dyDescent="0.25">
      <c r="A74" s="92" t="s">
        <v>216</v>
      </c>
      <c r="B74" s="85" t="s">
        <v>214</v>
      </c>
      <c r="C74" s="36">
        <v>0.10742808270298149</v>
      </c>
      <c r="D74" s="36">
        <v>0.13919546199227564</v>
      </c>
      <c r="E74" s="36">
        <v>0.13428510337872684</v>
      </c>
      <c r="F74" s="36">
        <v>0.17399432749034452</v>
      </c>
      <c r="G74" s="36">
        <v>0.16114212405447223</v>
      </c>
      <c r="H74" s="36">
        <v>0.20879319298841345</v>
      </c>
      <c r="I74" s="36">
        <v>0.18799914473021759</v>
      </c>
      <c r="J74" s="36">
        <v>0.24359205848648233</v>
      </c>
      <c r="K74" s="36">
        <v>0.21485616540596297</v>
      </c>
      <c r="L74" s="36">
        <v>0.27839092398455129</v>
      </c>
    </row>
    <row r="75" spans="1:12" x14ac:dyDescent="0.25">
      <c r="A75" s="39" t="s">
        <v>46</v>
      </c>
      <c r="B75" s="96" t="s">
        <v>218</v>
      </c>
      <c r="C75" s="36">
        <v>6.8000000000000005E-2</v>
      </c>
      <c r="D75" s="36">
        <v>0.11312128666666665</v>
      </c>
      <c r="E75" s="36">
        <v>8.5000000000000006E-2</v>
      </c>
      <c r="F75" s="36">
        <v>0.14140160833333335</v>
      </c>
      <c r="G75" s="36">
        <v>0.10199999999999999</v>
      </c>
      <c r="H75" s="36">
        <v>0.16968192999999995</v>
      </c>
      <c r="I75" s="36">
        <v>0.11899999999999999</v>
      </c>
      <c r="J75" s="36">
        <v>0.19796225166666664</v>
      </c>
      <c r="K75" s="37">
        <v>0.13600000000000001</v>
      </c>
      <c r="L75" s="36">
        <v>0.22624257333333331</v>
      </c>
    </row>
    <row r="76" spans="1:12" x14ac:dyDescent="0.25">
      <c r="A76" s="93" t="s">
        <v>46</v>
      </c>
      <c r="B76" s="85" t="s">
        <v>214</v>
      </c>
      <c r="C76" s="36">
        <v>3.3503830928553087E-2</v>
      </c>
      <c r="D76" s="36">
        <v>5.5735242101476262E-2</v>
      </c>
      <c r="E76" s="36">
        <v>5.8341290419510826E-2</v>
      </c>
      <c r="F76" s="36">
        <v>9.7053556441893188E-2</v>
      </c>
      <c r="G76" s="36">
        <v>0.10075270942259493</v>
      </c>
      <c r="H76" s="36">
        <v>0.16760700183877539</v>
      </c>
      <c r="I76" s="36">
        <v>0.11754482765969408</v>
      </c>
      <c r="J76" s="36">
        <v>0.19554150214523794</v>
      </c>
      <c r="K76" s="36">
        <v>0.17605825136816797</v>
      </c>
      <c r="L76" s="36">
        <v>0.29288141063309686</v>
      </c>
    </row>
    <row r="77" spans="1:12" x14ac:dyDescent="0.25">
      <c r="A77" s="38" t="s">
        <v>47</v>
      </c>
      <c r="B77" s="88" t="s">
        <v>95</v>
      </c>
      <c r="C77" s="37">
        <v>0.67583025830258303</v>
      </c>
      <c r="D77" s="37">
        <f>'Total especies y métodos'!D76</f>
        <v>0.4564333244723322</v>
      </c>
      <c r="E77" s="37">
        <f>'Total especies y métodos'!E76</f>
        <v>1.099248120300752</v>
      </c>
      <c r="F77" s="37">
        <f>'Total especies y métodos'!F76</f>
        <v>0.78694276633853766</v>
      </c>
      <c r="G77" s="37">
        <f>'Total especies y métodos'!G76</f>
        <v>1.552547770700637</v>
      </c>
      <c r="H77" s="37">
        <f>'Total especies y métodos'!H76</f>
        <v>1.1651157738742044</v>
      </c>
      <c r="I77" s="37">
        <f>'Total especies y métodos'!I76</f>
        <v>2.0538759689922479</v>
      </c>
      <c r="J77" s="37">
        <f>'Total especies y métodos'!J76</f>
        <v>1.5580231120134596</v>
      </c>
      <c r="K77" s="37">
        <f>'Total especies y métodos'!K76</f>
        <v>2.5878999999999999</v>
      </c>
      <c r="L77" s="37">
        <f>'Total especies y métodos'!L76</f>
        <v>1.7805978423010973</v>
      </c>
    </row>
    <row r="78" spans="1:12" x14ac:dyDescent="0.25">
      <c r="A78" s="39" t="s">
        <v>47</v>
      </c>
      <c r="B78" s="96" t="s">
        <v>218</v>
      </c>
      <c r="C78" s="36">
        <v>0.25600000000000001</v>
      </c>
      <c r="D78" s="36">
        <v>0.26536106666666665</v>
      </c>
      <c r="E78" s="36">
        <v>0.53400000000000003</v>
      </c>
      <c r="F78" s="36">
        <v>0.55352659999999998</v>
      </c>
      <c r="G78" s="36">
        <v>0.92300000000000004</v>
      </c>
      <c r="H78" s="36">
        <v>0.95675103333333333</v>
      </c>
      <c r="I78" s="36">
        <v>1.4350000000000001</v>
      </c>
      <c r="J78" s="36">
        <v>1.4874731666666665</v>
      </c>
      <c r="K78" s="37">
        <v>2.0790000000000002</v>
      </c>
      <c r="L78" s="36">
        <v>2.1550221000000001</v>
      </c>
    </row>
    <row r="79" spans="1:12" x14ac:dyDescent="0.25">
      <c r="A79" s="93" t="s">
        <v>47</v>
      </c>
      <c r="B79" s="85" t="s">
        <v>214</v>
      </c>
      <c r="C79" s="36">
        <v>0.31777502341536062</v>
      </c>
      <c r="D79" s="36">
        <v>0.32939499677158235</v>
      </c>
      <c r="E79" s="36">
        <v>0.55930534071995763</v>
      </c>
      <c r="F79" s="36">
        <v>0.57975727267895072</v>
      </c>
      <c r="G79" s="36">
        <v>1.1056419210053683</v>
      </c>
      <c r="H79" s="36">
        <v>1.1460715605834644</v>
      </c>
      <c r="I79" s="36">
        <v>1.7462315731181992</v>
      </c>
      <c r="J79" s="36">
        <v>1.8100854409752209</v>
      </c>
      <c r="K79" s="36">
        <v>2.6150138968397703</v>
      </c>
      <c r="L79" s="36">
        <v>2.7106362383342106</v>
      </c>
    </row>
    <row r="80" spans="1:12" x14ac:dyDescent="0.25">
      <c r="A80" s="136" t="s">
        <v>47</v>
      </c>
      <c r="B80" s="135"/>
      <c r="C80" s="36"/>
      <c r="D80" s="36">
        <v>0.6347880113549772</v>
      </c>
      <c r="E80" s="36"/>
      <c r="F80" s="36">
        <v>1.0173346238390923</v>
      </c>
      <c r="G80" s="36"/>
      <c r="H80" s="36">
        <v>1.4175702293543506</v>
      </c>
      <c r="I80" s="36"/>
      <c r="J80" s="36">
        <v>1.8563619864045695</v>
      </c>
      <c r="K80" s="36"/>
      <c r="L80" s="36">
        <v>2.7347329518756447</v>
      </c>
    </row>
    <row r="81" spans="1:12" x14ac:dyDescent="0.25">
      <c r="A81" s="506" t="s">
        <v>48</v>
      </c>
      <c r="B81" s="88" t="s">
        <v>307</v>
      </c>
      <c r="C81" s="37">
        <v>4.7578749412317822E-2</v>
      </c>
      <c r="D81" s="37">
        <f>'Total especies y métodos'!D80</f>
        <v>2.0214699176883854E-2</v>
      </c>
      <c r="E81" s="37">
        <f>'Total especies y métodos'!E80</f>
        <v>5.9473436765397278E-2</v>
      </c>
      <c r="F81" s="37">
        <f>'Total especies y métodos'!F80</f>
        <v>5.0853708186201808E-2</v>
      </c>
      <c r="G81" s="37">
        <f>'Total especies y métodos'!G80</f>
        <v>7.1368124118476733E-2</v>
      </c>
      <c r="H81" s="37">
        <f>'Total especies y métodos'!H80</f>
        <v>6.102444982344217E-2</v>
      </c>
      <c r="I81" s="37">
        <f>'Total especies y métodos'!I80</f>
        <v>8.3262811471556189E-2</v>
      </c>
      <c r="J81" s="37">
        <f>'Total especies y métodos'!J80</f>
        <v>0.14704079816421481</v>
      </c>
      <c r="K81" s="37">
        <f>'Total especies y métodos'!K80</f>
        <v>0.17998417721518986</v>
      </c>
      <c r="L81" s="37">
        <f>'Total especies y métodos'!L80</f>
        <v>0.16804662647338833</v>
      </c>
    </row>
    <row r="82" spans="1:12" x14ac:dyDescent="0.25">
      <c r="A82" s="508"/>
      <c r="B82" s="88" t="s">
        <v>94</v>
      </c>
      <c r="C82" s="37">
        <v>2.9976019184652279E-2</v>
      </c>
      <c r="D82" s="37">
        <f>'Total especies y métodos'!D81</f>
        <v>3.1639288306640985E-2</v>
      </c>
      <c r="E82" s="37">
        <f>'Total especies y métodos'!E81</f>
        <v>1.0594734367654</v>
      </c>
      <c r="F82" s="37">
        <f>'Total especies y métodos'!F81</f>
        <v>3.9549110383301236E-2</v>
      </c>
      <c r="G82" s="37">
        <f>'Total especies y métodos'!G81</f>
        <v>1.07136812411848</v>
      </c>
      <c r="H82" s="37">
        <f>'Total especies y métodos'!H81</f>
        <v>4.7458932459961474E-2</v>
      </c>
      <c r="I82" s="37">
        <f>'Total especies y métodos'!I81</f>
        <v>1.0832628114715599</v>
      </c>
      <c r="J82" s="37">
        <f>'Total especies y métodos'!J81</f>
        <v>9.1964080011148003E-2</v>
      </c>
      <c r="K82" s="37">
        <f>'Total especies y métodos'!K81</f>
        <v>1.17998417721519</v>
      </c>
      <c r="L82" s="37">
        <f>'Total especies y métodos'!L81</f>
        <v>0.10795822541769297</v>
      </c>
    </row>
    <row r="83" spans="1:12" x14ac:dyDescent="0.25">
      <c r="A83" s="507"/>
      <c r="B83" s="88" t="s">
        <v>96</v>
      </c>
      <c r="C83" s="37"/>
      <c r="D83" s="37">
        <f>'Total especies y métodos'!D82</f>
        <v>4.3635426256541009E-2</v>
      </c>
      <c r="E83" s="37">
        <f>'Total especies y métodos'!E82</f>
        <v>2.0594734367654</v>
      </c>
      <c r="F83" s="37">
        <f>'Total especies y métodos'!F82</f>
        <v>5.4544282820676256E-2</v>
      </c>
      <c r="G83" s="37">
        <f>'Total especies y métodos'!G82</f>
        <v>2.07136812411848</v>
      </c>
      <c r="H83" s="37">
        <f>'Total especies y métodos'!H82</f>
        <v>6.545313938481151E-2</v>
      </c>
      <c r="I83" s="37">
        <f>'Total especies y métodos'!I82</f>
        <v>2.0832628114715601</v>
      </c>
      <c r="J83" s="37">
        <f>'Total especies y métodos'!J82</f>
        <v>0.10950251840392226</v>
      </c>
      <c r="K83" s="37">
        <f>'Total especies y métodos'!K82</f>
        <v>2.1799841772151902</v>
      </c>
      <c r="L83" s="37">
        <f>'Total especies y métodos'!L82</f>
        <v>0.16625264941496601</v>
      </c>
    </row>
    <row r="84" spans="1:12" x14ac:dyDescent="0.25">
      <c r="A84" s="39" t="s">
        <v>48</v>
      </c>
      <c r="B84" s="96" t="s">
        <v>218</v>
      </c>
      <c r="C84" s="36">
        <v>6.2E-2</v>
      </c>
      <c r="D84" s="36">
        <v>9.0135393333333313E-2</v>
      </c>
      <c r="E84" s="36">
        <v>7.7499999999999999E-2</v>
      </c>
      <c r="F84" s="36">
        <v>0.11266924166666666</v>
      </c>
      <c r="G84" s="36">
        <v>9.2999999999999999E-2</v>
      </c>
      <c r="H84" s="36">
        <v>0.13520308999999997</v>
      </c>
      <c r="I84" s="36">
        <v>0.1085</v>
      </c>
      <c r="J84" s="36">
        <v>0.15773693833333333</v>
      </c>
      <c r="K84" s="37">
        <v>0.124</v>
      </c>
      <c r="L84" s="36">
        <v>0.18027078666666663</v>
      </c>
    </row>
    <row r="85" spans="1:12" x14ac:dyDescent="0.25">
      <c r="A85" s="93" t="s">
        <v>48</v>
      </c>
      <c r="B85" s="85" t="s">
        <v>214</v>
      </c>
      <c r="C85" s="36">
        <v>2.5368496278808071E-2</v>
      </c>
      <c r="D85" s="36">
        <v>3.6880635328476907E-2</v>
      </c>
      <c r="E85" s="36">
        <v>6.40322140670921E-2</v>
      </c>
      <c r="F85" s="36">
        <v>9.3089819370024932E-2</v>
      </c>
      <c r="G85" s="36">
        <v>7.6838656880510517E-2</v>
      </c>
      <c r="H85" s="36">
        <v>0.11170778324402991</v>
      </c>
      <c r="I85" s="36">
        <v>0.13420830181283941</v>
      </c>
      <c r="J85" s="36">
        <v>0.19511158181449983</v>
      </c>
      <c r="K85" s="36">
        <v>0.15338091635753076</v>
      </c>
      <c r="L85" s="36">
        <v>0.222984664930857</v>
      </c>
    </row>
    <row r="86" spans="1:12" x14ac:dyDescent="0.25">
      <c r="A86" s="136" t="s">
        <v>48</v>
      </c>
      <c r="B86" s="135" t="s">
        <v>244</v>
      </c>
      <c r="C86" s="36"/>
      <c r="D86" s="36">
        <v>6.818251395571974E-2</v>
      </c>
      <c r="E86" s="36"/>
      <c r="F86" s="36">
        <v>0.11328301245370812</v>
      </c>
      <c r="G86" s="36"/>
      <c r="H86" s="36">
        <v>0.25256765800093695</v>
      </c>
      <c r="I86" s="36"/>
      <c r="J86" s="36">
        <v>0.42436886474774788</v>
      </c>
      <c r="K86" s="36"/>
      <c r="L86" s="36">
        <v>0.62140325587320611</v>
      </c>
    </row>
    <row r="87" spans="1:12" x14ac:dyDescent="0.25">
      <c r="A87" s="39" t="s">
        <v>49</v>
      </c>
      <c r="B87" s="96" t="s">
        <v>218</v>
      </c>
      <c r="C87" s="36">
        <v>3.2000000000000001E-2</v>
      </c>
      <c r="D87" s="36">
        <v>4.9564533333333334E-2</v>
      </c>
      <c r="E87" s="36">
        <v>0.04</v>
      </c>
      <c r="F87" s="36">
        <v>6.1955666666666666E-2</v>
      </c>
      <c r="G87" s="36">
        <v>4.8000000000000001E-2</v>
      </c>
      <c r="H87" s="36">
        <v>7.4346800000000005E-2</v>
      </c>
      <c r="I87" s="36">
        <v>5.6000000000000001E-2</v>
      </c>
      <c r="J87" s="36">
        <v>8.6737933333333336E-2</v>
      </c>
      <c r="K87" s="37">
        <v>6.4000000000000001E-2</v>
      </c>
      <c r="L87" s="36">
        <v>9.9129066666666668E-2</v>
      </c>
    </row>
    <row r="88" spans="1:12" x14ac:dyDescent="0.25">
      <c r="A88" s="93" t="s">
        <v>49</v>
      </c>
      <c r="B88" s="85" t="s">
        <v>214</v>
      </c>
      <c r="C88" s="36">
        <v>2.3631844082256638E-2</v>
      </c>
      <c r="D88" s="36">
        <v>3.6603166366973285E-2</v>
      </c>
      <c r="E88" s="36">
        <v>2.9539805102820796E-2</v>
      </c>
      <c r="F88" s="36">
        <v>4.5753957958716604E-2</v>
      </c>
      <c r="G88" s="36">
        <v>5.8196712673332089E-2</v>
      </c>
      <c r="H88" s="36">
        <v>9.0140403287118462E-2</v>
      </c>
      <c r="I88" s="36">
        <v>6.7896164785554103E-2</v>
      </c>
      <c r="J88" s="36">
        <v>0.10516380383497152</v>
      </c>
      <c r="K88" s="36">
        <v>7.759561689777611E-2</v>
      </c>
      <c r="L88" s="36">
        <v>0.12018720438282458</v>
      </c>
    </row>
    <row r="89" spans="1:12" x14ac:dyDescent="0.25">
      <c r="A89" s="2" t="s">
        <v>50</v>
      </c>
      <c r="B89" s="87"/>
      <c r="C89" s="37"/>
      <c r="D89" s="36"/>
      <c r="E89" s="36"/>
      <c r="F89" s="36"/>
      <c r="G89" s="36"/>
      <c r="H89" s="36"/>
      <c r="I89" s="37"/>
      <c r="J89" s="37"/>
      <c r="K89" s="37"/>
      <c r="L89" s="37"/>
    </row>
    <row r="90" spans="1:12" x14ac:dyDescent="0.25">
      <c r="A90" s="2" t="s">
        <v>51</v>
      </c>
      <c r="B90" s="87"/>
      <c r="C90" s="37"/>
      <c r="D90" s="36"/>
      <c r="E90" s="36"/>
      <c r="F90" s="36"/>
      <c r="G90" s="36"/>
      <c r="H90" s="36"/>
      <c r="I90" s="37"/>
      <c r="J90" s="37"/>
      <c r="K90" s="37"/>
      <c r="L90" s="37"/>
    </row>
    <row r="91" spans="1:12" x14ac:dyDescent="0.25">
      <c r="A91" s="92" t="s">
        <v>110</v>
      </c>
      <c r="B91" s="85" t="s">
        <v>214</v>
      </c>
      <c r="C91" s="36">
        <v>0.13331567677235068</v>
      </c>
      <c r="D91" s="36">
        <v>0.20654286732427818</v>
      </c>
      <c r="E91" s="36">
        <v>0.29653007932906505</v>
      </c>
      <c r="F91" s="36">
        <v>0.45940713286933604</v>
      </c>
      <c r="G91" s="36">
        <v>0.43352669931402832</v>
      </c>
      <c r="H91" s="36">
        <v>0.67165279962424007</v>
      </c>
      <c r="I91" s="36">
        <v>0.59561593058269391</v>
      </c>
      <c r="J91" s="36">
        <v>0.92277386354672075</v>
      </c>
      <c r="K91" s="36">
        <v>0.81528022188747196</v>
      </c>
      <c r="L91" s="36">
        <v>1.2630946245650829</v>
      </c>
    </row>
    <row r="92" spans="1:12" x14ac:dyDescent="0.25">
      <c r="A92" s="39" t="s">
        <v>52</v>
      </c>
      <c r="B92" s="96" t="s">
        <v>218</v>
      </c>
      <c r="C92" s="36">
        <v>0.218</v>
      </c>
      <c r="D92" s="36">
        <v>0.33774231333333332</v>
      </c>
      <c r="E92" s="36">
        <v>0.38100000000000001</v>
      </c>
      <c r="F92" s="36">
        <v>0.59027441000000003</v>
      </c>
      <c r="G92" s="36">
        <v>0.57399999999999995</v>
      </c>
      <c r="H92" s="36">
        <v>0.88928480666666643</v>
      </c>
      <c r="I92" s="36">
        <v>0.79300000000000004</v>
      </c>
      <c r="J92" s="36">
        <v>1.228576396666667</v>
      </c>
      <c r="K92" s="37">
        <v>1.036</v>
      </c>
      <c r="L92" s="36">
        <v>1.6050506266666669</v>
      </c>
    </row>
    <row r="93" spans="1:12" x14ac:dyDescent="0.25">
      <c r="A93" s="93" t="s">
        <v>52</v>
      </c>
      <c r="B93" s="85" t="s">
        <v>214</v>
      </c>
      <c r="C93" s="36">
        <v>0.18430681403256532</v>
      </c>
      <c r="D93" s="36">
        <v>0.28554224648832599</v>
      </c>
      <c r="E93" s="36">
        <v>0.46475194136522141</v>
      </c>
      <c r="F93" s="36">
        <v>0.72002933854517226</v>
      </c>
      <c r="G93" s="36">
        <v>0.64962248187758487</v>
      </c>
      <c r="H93" s="36">
        <v>1.0064449533150317</v>
      </c>
      <c r="I93" s="36">
        <v>0.93269311968610946</v>
      </c>
      <c r="J93" s="36">
        <v>1.44499968749023</v>
      </c>
      <c r="K93" s="36">
        <v>1.2235395364888055</v>
      </c>
      <c r="L93" s="36">
        <v>1.8956012546262551</v>
      </c>
    </row>
    <row r="94" spans="1:12" x14ac:dyDescent="0.25">
      <c r="A94" s="92" t="s">
        <v>209</v>
      </c>
      <c r="B94" s="85" t="s">
        <v>214</v>
      </c>
      <c r="C94" s="36">
        <v>0.21841359949394204</v>
      </c>
      <c r="D94" s="36">
        <v>0.33838309337864286</v>
      </c>
      <c r="E94" s="36">
        <v>0.51973169525491636</v>
      </c>
      <c r="F94" s="36">
        <v>0.80520818838555264</v>
      </c>
      <c r="G94" s="36">
        <v>0.75996873280127686</v>
      </c>
      <c r="H94" s="36">
        <v>1.1774018251252529</v>
      </c>
      <c r="I94" s="36">
        <v>1.0033584896898251</v>
      </c>
      <c r="J94" s="36">
        <v>1.5544798963783533</v>
      </c>
      <c r="K94" s="36">
        <v>1.3062334225151486</v>
      </c>
      <c r="L94" s="36">
        <v>2.0237169627228608</v>
      </c>
    </row>
    <row r="95" spans="1:12" x14ac:dyDescent="0.25">
      <c r="A95" s="2" t="s">
        <v>53</v>
      </c>
      <c r="B95" s="87"/>
      <c r="C95" s="37"/>
      <c r="D95" s="36"/>
      <c r="E95" s="36"/>
      <c r="F95" s="36"/>
      <c r="G95" s="36"/>
      <c r="H95" s="36"/>
      <c r="I95" s="37"/>
      <c r="J95" s="36"/>
      <c r="K95" s="37"/>
      <c r="L95" s="37"/>
    </row>
    <row r="96" spans="1:12" x14ac:dyDescent="0.25">
      <c r="A96" s="92" t="s">
        <v>54</v>
      </c>
      <c r="B96" s="85" t="s">
        <v>214</v>
      </c>
      <c r="C96" s="36">
        <v>0.1588783245860548</v>
      </c>
      <c r="D96" s="36">
        <v>0.35046440026022546</v>
      </c>
      <c r="E96" s="36">
        <v>0.33067416033692204</v>
      </c>
      <c r="F96" s="36">
        <v>0.72942310781520503</v>
      </c>
      <c r="G96" s="36">
        <v>0.52057743788682687</v>
      </c>
      <c r="H96" s="36">
        <v>1.1483244176532885</v>
      </c>
      <c r="I96" s="36">
        <v>0.61808392924993483</v>
      </c>
      <c r="J96" s="36">
        <v>1.3634107367347896</v>
      </c>
      <c r="K96" s="36">
        <v>0.84738961741264107</v>
      </c>
      <c r="L96" s="36">
        <v>1.8692285107299644</v>
      </c>
    </row>
    <row r="97" spans="1:12" x14ac:dyDescent="0.25">
      <c r="A97" s="92" t="s">
        <v>210</v>
      </c>
      <c r="B97" s="85" t="s">
        <v>214</v>
      </c>
      <c r="C97" s="36">
        <v>0.33402828749429769</v>
      </c>
      <c r="D97" s="36">
        <v>0.34624258854033912</v>
      </c>
      <c r="E97" s="36">
        <v>0.61179325145087948</v>
      </c>
      <c r="F97" s="36">
        <v>0.63416449134559993</v>
      </c>
      <c r="G97" s="36">
        <v>1.2507329958097388</v>
      </c>
      <c r="H97" s="36">
        <v>1.2964681323565146</v>
      </c>
      <c r="I97" s="36">
        <v>2.7761715625814669</v>
      </c>
      <c r="J97" s="36">
        <v>2.8776869027198626</v>
      </c>
      <c r="K97" s="36">
        <v>3.2847516435067581</v>
      </c>
      <c r="L97" s="36">
        <v>3.4048640619376549</v>
      </c>
    </row>
    <row r="98" spans="1:12" x14ac:dyDescent="0.25">
      <c r="A98" s="2" t="s">
        <v>55</v>
      </c>
      <c r="B98" s="87"/>
      <c r="C98" s="36"/>
      <c r="D98" s="36"/>
      <c r="E98" s="36"/>
      <c r="F98" s="36"/>
      <c r="G98" s="36"/>
      <c r="H98" s="37"/>
      <c r="I98" s="37"/>
      <c r="J98" s="37"/>
      <c r="K98" s="37"/>
      <c r="L98" s="36"/>
    </row>
    <row r="99" spans="1:12" x14ac:dyDescent="0.25">
      <c r="A99" s="92" t="s">
        <v>180</v>
      </c>
      <c r="B99" s="85" t="s">
        <v>214</v>
      </c>
      <c r="C99" s="36">
        <v>1.7875108881303933E-2</v>
      </c>
      <c r="D99" s="36">
        <v>4.8828839094095237E-2</v>
      </c>
      <c r="E99" s="36">
        <v>2.2343886101629917E-2</v>
      </c>
      <c r="F99" s="36">
        <v>6.1036048867619055E-2</v>
      </c>
      <c r="G99" s="36">
        <v>4.6570343702280768E-2</v>
      </c>
      <c r="H99" s="36">
        <v>0.12721465554673028</v>
      </c>
      <c r="I99" s="36">
        <v>5.4332067652660895E-2</v>
      </c>
      <c r="J99" s="36">
        <v>0.148417098137852</v>
      </c>
      <c r="K99" s="36">
        <v>6.2093791603041029E-2</v>
      </c>
      <c r="L99" s="36">
        <v>0.16961954072897373</v>
      </c>
    </row>
    <row r="100" spans="1:12" x14ac:dyDescent="0.25">
      <c r="A100" s="39" t="s">
        <v>57</v>
      </c>
      <c r="B100" s="96" t="s">
        <v>218</v>
      </c>
      <c r="C100" s="36">
        <v>3.5333333333333328E-2</v>
      </c>
      <c r="D100" s="36">
        <v>9.7572823333333336E-2</v>
      </c>
      <c r="E100" s="36">
        <v>4.4166666666666667E-2</v>
      </c>
      <c r="F100" s="36">
        <v>0.12196602916666668</v>
      </c>
      <c r="G100" s="36">
        <v>5.2999999999999999E-2</v>
      </c>
      <c r="H100" s="36">
        <v>0.146359235</v>
      </c>
      <c r="I100" s="36">
        <v>6.183333333333333E-2</v>
      </c>
      <c r="J100" s="36">
        <v>0.17075244083333332</v>
      </c>
      <c r="K100" s="37">
        <v>7.0666666666666655E-2</v>
      </c>
      <c r="L100" s="36">
        <v>0.19514564666666667</v>
      </c>
    </row>
    <row r="101" spans="1:12" x14ac:dyDescent="0.25">
      <c r="A101" s="93" t="s">
        <v>57</v>
      </c>
      <c r="B101" s="85" t="s">
        <v>214</v>
      </c>
      <c r="C101" s="36">
        <v>1.4848292609940923E-2</v>
      </c>
      <c r="D101" s="36">
        <v>4.1003485800888813E-2</v>
      </c>
      <c r="E101" s="36">
        <v>1.8560365762426152E-2</v>
      </c>
      <c r="F101" s="36">
        <v>5.1254357251111014E-2</v>
      </c>
      <c r="G101" s="36">
        <v>3.5327485281266127E-2</v>
      </c>
      <c r="H101" s="36">
        <v>9.7556673966789992E-2</v>
      </c>
      <c r="I101" s="36">
        <v>4.1215399494810484E-2</v>
      </c>
      <c r="J101" s="36">
        <v>0.11381611962792167</v>
      </c>
      <c r="K101" s="36">
        <v>4.7103313708354841E-2</v>
      </c>
      <c r="L101" s="36">
        <v>0.13007556528905334</v>
      </c>
    </row>
    <row r="102" spans="1:12" x14ac:dyDescent="0.25">
      <c r="A102" s="305" t="s">
        <v>58</v>
      </c>
      <c r="B102" s="318" t="s">
        <v>214</v>
      </c>
      <c r="C102" s="36">
        <f>'Q.ilex_Q.suber y Larix'!B3</f>
        <v>1.5489841521071678E-2</v>
      </c>
      <c r="D102" s="36">
        <f>'Q.ilex_Q.suber y Larix'!C3</f>
        <v>4.8090381579979975E-2</v>
      </c>
      <c r="E102" s="36">
        <f>'Q.ilex_Q.suber y Larix'!D3</f>
        <v>1.9362301901339599E-2</v>
      </c>
      <c r="F102" s="36">
        <f>'Q.ilex_Q.suber y Larix'!E3</f>
        <v>6.0112976974974974E-2</v>
      </c>
      <c r="G102" s="36">
        <f>'Q.ilex_Q.suber y Larix'!F3</f>
        <v>2.3234762281607518E-2</v>
      </c>
      <c r="H102" s="36">
        <f>'Q.ilex_Q.suber y Larix'!G3</f>
        <v>7.2135572369969952E-2</v>
      </c>
      <c r="I102" s="36">
        <f>'Q.ilex_Q.suber y Larix'!H3</f>
        <v>2.7107222661875437E-2</v>
      </c>
      <c r="J102" s="36">
        <f>'Q.ilex_Q.suber y Larix'!I3</f>
        <v>8.4158167764964945E-2</v>
      </c>
      <c r="K102" s="36">
        <f>'Q.ilex_Q.suber y Larix'!J3</f>
        <v>3.0979683042143356E-2</v>
      </c>
      <c r="L102" s="36">
        <f>'Q.ilex_Q.suber y Larix'!K3</f>
        <v>9.6180763159959951E-2</v>
      </c>
    </row>
    <row r="103" spans="1:12" x14ac:dyDescent="0.25">
      <c r="A103" s="39" t="s">
        <v>59</v>
      </c>
      <c r="B103" s="96" t="s">
        <v>218</v>
      </c>
      <c r="C103" s="36">
        <v>3.7999999999999999E-2</v>
      </c>
      <c r="D103" s="36">
        <v>7.9411640000000006E-2</v>
      </c>
      <c r="E103" s="36">
        <v>4.7500000000000001E-2</v>
      </c>
      <c r="F103" s="36">
        <v>9.9264549999999993E-2</v>
      </c>
      <c r="G103" s="36">
        <v>5.7000000000000002E-2</v>
      </c>
      <c r="H103" s="36">
        <v>0.11911745999999999</v>
      </c>
      <c r="I103" s="36">
        <v>6.6500000000000004E-2</v>
      </c>
      <c r="J103" s="36">
        <v>0.13897037000000001</v>
      </c>
      <c r="K103" s="37">
        <v>7.5999999999999998E-2</v>
      </c>
      <c r="L103" s="36">
        <v>0.15882328000000001</v>
      </c>
    </row>
    <row r="104" spans="1:12" x14ac:dyDescent="0.25">
      <c r="A104" s="93" t="s">
        <v>59</v>
      </c>
      <c r="B104" s="85" t="s">
        <v>214</v>
      </c>
      <c r="C104" s="36">
        <v>2.6624296652618271E-2</v>
      </c>
      <c r="D104" s="36">
        <v>5.5638922658708602E-2</v>
      </c>
      <c r="E104" s="36">
        <v>3.3280370815772835E-2</v>
      </c>
      <c r="F104" s="36">
        <v>6.9548653323385751E-2</v>
      </c>
      <c r="G104" s="36">
        <v>8.5655255515471082E-2</v>
      </c>
      <c r="H104" s="36">
        <v>0.17900063987112114</v>
      </c>
      <c r="I104" s="36">
        <v>9.9931131434716255E-2</v>
      </c>
      <c r="J104" s="36">
        <v>0.20883407984964134</v>
      </c>
      <c r="K104" s="36">
        <v>0.11420700735396144</v>
      </c>
      <c r="L104" s="36">
        <v>0.23866751982816153</v>
      </c>
    </row>
    <row r="105" spans="1:12" x14ac:dyDescent="0.25">
      <c r="A105" s="92" t="s">
        <v>60</v>
      </c>
      <c r="B105" s="85" t="s">
        <v>214</v>
      </c>
      <c r="C105" s="36">
        <v>3.0960646267520889E-2</v>
      </c>
      <c r="D105" s="36">
        <v>6.8552185747233832E-2</v>
      </c>
      <c r="E105" s="36">
        <v>5.5535418063081127E-2</v>
      </c>
      <c r="F105" s="36">
        <v>0.12296494917176243</v>
      </c>
      <c r="G105" s="36">
        <v>6.6642501675697352E-2</v>
      </c>
      <c r="H105" s="36">
        <v>0.14755793900611491</v>
      </c>
      <c r="I105" s="36">
        <v>0.10425333573826619</v>
      </c>
      <c r="J105" s="36">
        <v>0.23083478214715636</v>
      </c>
      <c r="K105" s="36">
        <v>0.11914666941516135</v>
      </c>
      <c r="L105" s="36">
        <v>0.26381117959675016</v>
      </c>
    </row>
    <row r="106" spans="1:12" x14ac:dyDescent="0.25">
      <c r="A106" s="39" t="s">
        <v>61</v>
      </c>
      <c r="B106" s="96" t="s">
        <v>218</v>
      </c>
      <c r="C106" s="36">
        <v>3.8399999999999997E-2</v>
      </c>
      <c r="D106" s="36">
        <v>0.10572883199999998</v>
      </c>
      <c r="E106" s="36">
        <v>4.8000000000000001E-2</v>
      </c>
      <c r="F106" s="36">
        <v>0.13216104000000001</v>
      </c>
      <c r="G106" s="36">
        <v>5.7599999999999991E-2</v>
      </c>
      <c r="H106" s="36">
        <v>0.15859324799999999</v>
      </c>
      <c r="I106" s="36">
        <v>6.720000000000001E-2</v>
      </c>
      <c r="J106" s="36">
        <v>0.18502545600000006</v>
      </c>
      <c r="K106" s="37">
        <v>7.6799999999999993E-2</v>
      </c>
      <c r="L106" s="36">
        <v>0.21145766399999996</v>
      </c>
    </row>
    <row r="107" spans="1:12" x14ac:dyDescent="0.25">
      <c r="A107" s="93" t="s">
        <v>61</v>
      </c>
      <c r="B107" s="85" t="s">
        <v>214</v>
      </c>
      <c r="C107" s="36">
        <v>1.9354648683058993E-2</v>
      </c>
      <c r="D107" s="36">
        <v>5.3290218724743897E-2</v>
      </c>
      <c r="E107" s="36">
        <v>2.4193310853823743E-2</v>
      </c>
      <c r="F107" s="36">
        <v>6.6612773405929887E-2</v>
      </c>
      <c r="G107" s="36">
        <v>5.3727881844045491E-2</v>
      </c>
      <c r="H107" s="36">
        <v>0.14793193211471187</v>
      </c>
      <c r="I107" s="36">
        <v>6.2682528818053071E-2</v>
      </c>
      <c r="J107" s="36">
        <v>0.17258725413383053</v>
      </c>
      <c r="K107" s="36">
        <v>7.1637175792060651E-2</v>
      </c>
      <c r="L107" s="36">
        <v>0.19724257615294916</v>
      </c>
    </row>
    <row r="108" spans="1:12" x14ac:dyDescent="0.25">
      <c r="A108" s="38" t="s">
        <v>62</v>
      </c>
      <c r="B108" s="88" t="s">
        <v>242</v>
      </c>
      <c r="C108" s="36"/>
      <c r="D108" s="36">
        <v>2.4741729460580914E-2</v>
      </c>
      <c r="E108" s="36"/>
      <c r="F108" s="36">
        <v>4.2108132132132131E-2</v>
      </c>
      <c r="G108" s="36"/>
      <c r="H108" s="36">
        <v>9.8011439904799699E-2</v>
      </c>
      <c r="I108" s="36"/>
      <c r="J108" s="36">
        <v>0.2209103448275862</v>
      </c>
      <c r="K108" s="36"/>
      <c r="L108" s="36">
        <v>0.4726752487309645</v>
      </c>
    </row>
    <row r="109" spans="1:12" x14ac:dyDescent="0.25">
      <c r="A109" s="39" t="s">
        <v>62</v>
      </c>
      <c r="B109" s="96" t="s">
        <v>218</v>
      </c>
      <c r="C109" s="36">
        <v>5.6500000000000002E-2</v>
      </c>
      <c r="D109" s="36">
        <v>0.11807257</v>
      </c>
      <c r="E109" s="36">
        <v>7.0624999999999993E-2</v>
      </c>
      <c r="F109" s="36">
        <v>0.1475907125</v>
      </c>
      <c r="G109" s="36">
        <v>8.4750000000000006E-2</v>
      </c>
      <c r="H109" s="36">
        <v>0.17710885500000004</v>
      </c>
      <c r="I109" s="36">
        <v>9.8875000000000005E-2</v>
      </c>
      <c r="J109" s="36">
        <v>0.20662699749999999</v>
      </c>
      <c r="K109" s="37">
        <v>0.113</v>
      </c>
      <c r="L109" s="36">
        <v>0.23614514</v>
      </c>
    </row>
    <row r="110" spans="1:12" x14ac:dyDescent="0.25">
      <c r="A110" s="93" t="s">
        <v>62</v>
      </c>
      <c r="B110" s="85" t="s">
        <v>214</v>
      </c>
      <c r="C110" s="36">
        <v>3.3837493759715447E-2</v>
      </c>
      <c r="D110" s="36">
        <v>7.0712917709178133E-2</v>
      </c>
      <c r="E110" s="36">
        <v>7.6750370757631942E-2</v>
      </c>
      <c r="F110" s="36">
        <v>0.16039138980188405</v>
      </c>
      <c r="G110" s="36">
        <v>9.2100444909158335E-2</v>
      </c>
      <c r="H110" s="36">
        <v>0.1924696677622609</v>
      </c>
      <c r="I110" s="36">
        <v>0.10745051906068473</v>
      </c>
      <c r="J110" s="36">
        <v>0.2245479457226377</v>
      </c>
      <c r="K110" s="36">
        <v>0.16228837751151071</v>
      </c>
      <c r="L110" s="36">
        <v>0.3391470055560048</v>
      </c>
    </row>
    <row r="111" spans="1:12" x14ac:dyDescent="0.25">
      <c r="A111" s="136" t="s">
        <v>62</v>
      </c>
      <c r="B111" s="135" t="s">
        <v>246</v>
      </c>
      <c r="C111" s="36"/>
      <c r="D111" s="36">
        <v>3.3775316398753537E-2</v>
      </c>
      <c r="E111" s="36"/>
      <c r="F111" s="36">
        <v>5.9661138638327713E-2</v>
      </c>
      <c r="G111" s="36"/>
      <c r="H111" s="36">
        <v>0.1188606916457756</v>
      </c>
      <c r="I111" s="36"/>
      <c r="J111" s="36">
        <v>0.21498591506157547</v>
      </c>
      <c r="K111" s="36"/>
      <c r="L111" s="36">
        <v>0.34811559038749534</v>
      </c>
    </row>
    <row r="112" spans="1:12" x14ac:dyDescent="0.25">
      <c r="A112" s="92" t="s">
        <v>98</v>
      </c>
      <c r="B112" s="85" t="s">
        <v>214</v>
      </c>
      <c r="C112" s="36">
        <v>3.6271193707291177E-2</v>
      </c>
      <c r="D112" s="36">
        <v>7.2189347795831374E-2</v>
      </c>
      <c r="E112" s="36">
        <v>9.2760006106566914E-2</v>
      </c>
      <c r="F112" s="36">
        <v>0.18461714815369659</v>
      </c>
      <c r="G112" s="36">
        <v>0.1113120073278803</v>
      </c>
      <c r="H112" s="36">
        <v>0.22154057778443589</v>
      </c>
      <c r="I112" s="36">
        <v>0.1744750679670522</v>
      </c>
      <c r="J112" s="36">
        <v>0.34725191193922511</v>
      </c>
      <c r="K112" s="36">
        <v>0.19940007767663109</v>
      </c>
      <c r="L112" s="36">
        <v>0.39685932793054296</v>
      </c>
    </row>
    <row r="113" spans="1:12" x14ac:dyDescent="0.25">
      <c r="A113" s="305" t="s">
        <v>106</v>
      </c>
      <c r="B113" s="318" t="s">
        <v>214</v>
      </c>
      <c r="C113" s="36">
        <f>'Q.ilex_Q.suber y Larix'!B4</f>
        <v>2.3871095636996648E-2</v>
      </c>
      <c r="D113" s="36">
        <f>'Q.ilex_Q.suber y Larix'!C4</f>
        <v>7.411115835844527E-2</v>
      </c>
      <c r="E113" s="36">
        <f>'Q.ilex_Q.suber y Larix'!D4</f>
        <v>2.983886954624581E-2</v>
      </c>
      <c r="F113" s="36">
        <f>'Q.ilex_Q.suber y Larix'!E4</f>
        <v>9.2638947948056591E-2</v>
      </c>
      <c r="G113" s="36">
        <f>'Q.ilex_Q.suber y Larix'!F4</f>
        <v>3.5806643455494974E-2</v>
      </c>
      <c r="H113" s="36">
        <f>'Q.ilex_Q.suber y Larix'!G4</f>
        <v>0.11116673753766791</v>
      </c>
      <c r="I113" s="36">
        <f>'Q.ilex_Q.suber y Larix'!H4</f>
        <v>4.1774417364744132E-2</v>
      </c>
      <c r="J113" s="36">
        <f>'Q.ilex_Q.suber y Larix'!I4</f>
        <v>0.12969452712727922</v>
      </c>
      <c r="K113" s="36">
        <f>'Q.ilex_Q.suber y Larix'!J4</f>
        <v>4.7742191273993297E-2</v>
      </c>
      <c r="L113" s="36">
        <f>'Q.ilex_Q.suber y Larix'!K4</f>
        <v>0.14822231671689054</v>
      </c>
    </row>
    <row r="114" spans="1:12" x14ac:dyDescent="0.25">
      <c r="A114" s="5" t="s">
        <v>63</v>
      </c>
      <c r="B114" s="89"/>
      <c r="C114" s="36"/>
      <c r="D114" s="36"/>
      <c r="E114" s="36"/>
      <c r="F114" s="36"/>
      <c r="G114" s="36"/>
      <c r="H114" s="36"/>
      <c r="I114" s="36"/>
      <c r="J114" s="36"/>
      <c r="K114" s="36"/>
      <c r="L114" s="36"/>
    </row>
    <row r="115" spans="1:12" x14ac:dyDescent="0.25">
      <c r="A115" s="92" t="s">
        <v>64</v>
      </c>
      <c r="B115" s="85" t="s">
        <v>214</v>
      </c>
      <c r="C115" s="36">
        <v>2.7231583871240757E-2</v>
      </c>
      <c r="D115" s="36">
        <v>6.0069243142107612E-2</v>
      </c>
      <c r="E115" s="36">
        <v>7.221104985622355E-2</v>
      </c>
      <c r="F115" s="36">
        <v>0.15928794784284833</v>
      </c>
      <c r="G115" s="36">
        <v>8.6653259827468271E-2</v>
      </c>
      <c r="H115" s="36">
        <v>0.19114553741141802</v>
      </c>
      <c r="I115" s="36">
        <v>0.15598954072599311</v>
      </c>
      <c r="J115" s="36">
        <v>0.34409212823611068</v>
      </c>
      <c r="K115" s="36">
        <v>0.17827376082970639</v>
      </c>
      <c r="L115" s="36">
        <v>0.39324814655555496</v>
      </c>
    </row>
    <row r="116" spans="1:12" x14ac:dyDescent="0.25">
      <c r="A116" s="92" t="s">
        <v>211</v>
      </c>
      <c r="B116" s="85" t="s">
        <v>214</v>
      </c>
      <c r="C116" s="36">
        <v>0.13993173246654608</v>
      </c>
      <c r="D116" s="36">
        <v>0.3086707442568718</v>
      </c>
      <c r="E116" s="36">
        <v>0.26066265362298341</v>
      </c>
      <c r="F116" s="36">
        <v>0.57498705887181834</v>
      </c>
      <c r="G116" s="36">
        <v>0.40603515156448039</v>
      </c>
      <c r="H116" s="36">
        <v>0.89565940633103525</v>
      </c>
      <c r="I116" s="36">
        <v>0.56415193613376724</v>
      </c>
      <c r="J116" s="36">
        <v>1.2444439508529392</v>
      </c>
      <c r="K116" s="36">
        <v>0.61922533725760553</v>
      </c>
      <c r="L116" s="36">
        <v>1.3659285306119766</v>
      </c>
    </row>
    <row r="117" spans="1:12" x14ac:dyDescent="0.25">
      <c r="A117" s="5" t="s">
        <v>65</v>
      </c>
      <c r="B117" s="89"/>
      <c r="C117" s="36"/>
      <c r="D117" s="36"/>
      <c r="E117" s="36"/>
      <c r="F117" s="36"/>
      <c r="G117" s="36"/>
      <c r="H117" s="36"/>
      <c r="I117" s="36"/>
      <c r="J117" s="36"/>
      <c r="K117" s="36"/>
      <c r="L117" s="36"/>
    </row>
    <row r="118" spans="1:12" x14ac:dyDescent="0.25">
      <c r="A118" s="92" t="s">
        <v>67</v>
      </c>
      <c r="B118" s="85" t="s">
        <v>214</v>
      </c>
      <c r="C118" s="36">
        <v>6.2140816833345464E-2</v>
      </c>
      <c r="D118" s="36">
        <v>0.16514543481629892</v>
      </c>
      <c r="E118" s="36">
        <v>7.7676021041681836E-2</v>
      </c>
      <c r="F118" s="36">
        <v>0.20643179352037366</v>
      </c>
      <c r="G118" s="36">
        <v>9.3211225250018195E-2</v>
      </c>
      <c r="H118" s="36">
        <v>0.24771815222444837</v>
      </c>
      <c r="I118" s="36">
        <v>0.10874642945835457</v>
      </c>
      <c r="J118" s="36">
        <v>0.28900451092852308</v>
      </c>
      <c r="K118" s="36">
        <v>0.12428163366669093</v>
      </c>
      <c r="L118" s="36">
        <v>0.33029086963259785</v>
      </c>
    </row>
    <row r="119" spans="1:12" x14ac:dyDescent="0.25">
      <c r="A119" s="92" t="s">
        <v>212</v>
      </c>
      <c r="B119" s="85" t="s">
        <v>214</v>
      </c>
      <c r="C119" s="36">
        <v>1.4552614868954362E-2</v>
      </c>
      <c r="D119" s="36">
        <v>2.8664770594541707E-2</v>
      </c>
      <c r="E119" s="36">
        <v>3.3820935737924614E-2</v>
      </c>
      <c r="F119" s="36">
        <v>6.6618224487514713E-2</v>
      </c>
      <c r="G119" s="36">
        <v>4.0585122885509535E-2</v>
      </c>
      <c r="H119" s="36">
        <v>7.9941869385017642E-2</v>
      </c>
      <c r="I119" s="36">
        <v>7.1138125670237848E-2</v>
      </c>
      <c r="J119" s="36">
        <v>0.14012313740352317</v>
      </c>
      <c r="K119" s="36">
        <v>8.1300715051700403E-2</v>
      </c>
      <c r="L119" s="36">
        <v>0.16014072846116933</v>
      </c>
    </row>
    <row r="120" spans="1:12" x14ac:dyDescent="0.25">
      <c r="A120" s="5" t="s">
        <v>69</v>
      </c>
      <c r="B120" s="89"/>
      <c r="C120" s="36"/>
      <c r="D120" s="36"/>
      <c r="E120" s="36"/>
      <c r="F120" s="36"/>
      <c r="G120" s="36"/>
      <c r="H120" s="36"/>
      <c r="I120" s="36"/>
      <c r="J120" s="36"/>
      <c r="K120" s="36"/>
      <c r="L120" s="36"/>
    </row>
    <row r="121" spans="1:12" x14ac:dyDescent="0.25">
      <c r="A121" s="5" t="s">
        <v>70</v>
      </c>
      <c r="B121" s="89"/>
      <c r="C121" s="36"/>
      <c r="D121" s="36"/>
      <c r="E121" s="36"/>
      <c r="F121" s="36"/>
      <c r="G121" s="36"/>
      <c r="H121" s="36"/>
      <c r="I121" s="36"/>
      <c r="J121" s="36"/>
      <c r="K121" s="36"/>
      <c r="L121" s="36"/>
    </row>
    <row r="122" spans="1:12" x14ac:dyDescent="0.25">
      <c r="A122" s="94" t="s">
        <v>71</v>
      </c>
      <c r="B122" s="95"/>
      <c r="C122" s="36"/>
      <c r="D122" s="36"/>
      <c r="E122" s="36"/>
      <c r="F122" s="36"/>
      <c r="G122" s="36"/>
      <c r="H122" s="36"/>
      <c r="I122" s="36"/>
      <c r="J122" s="36"/>
      <c r="K122" s="36"/>
      <c r="L122" s="36"/>
    </row>
    <row r="123" spans="1:12" x14ac:dyDescent="0.25">
      <c r="A123" s="92" t="s">
        <v>72</v>
      </c>
      <c r="B123" s="85" t="s">
        <v>214</v>
      </c>
      <c r="C123" s="36">
        <v>2.6976298890617898E-2</v>
      </c>
      <c r="D123" s="36">
        <v>5.1766168756151212E-2</v>
      </c>
      <c r="E123" s="36">
        <v>3.295231159662796E-2</v>
      </c>
      <c r="F123" s="36">
        <v>6.3233838338349224E-2</v>
      </c>
      <c r="G123" s="36">
        <v>4.5592134029955503E-2</v>
      </c>
      <c r="H123" s="36">
        <v>8.7489025596783121E-2</v>
      </c>
      <c r="I123" s="36">
        <v>6.0733508148132463E-2</v>
      </c>
      <c r="J123" s="36">
        <v>0.1165445654608588</v>
      </c>
      <c r="K123" s="36">
        <v>6.9409723597865666E-2</v>
      </c>
      <c r="L123" s="36">
        <v>0.13319378909812432</v>
      </c>
    </row>
    <row r="124" spans="1:12" x14ac:dyDescent="0.25">
      <c r="A124" s="27" t="s">
        <v>73</v>
      </c>
      <c r="B124" s="96" t="s">
        <v>218</v>
      </c>
      <c r="C124" s="36">
        <v>7.2666666666666671E-2</v>
      </c>
      <c r="D124" s="36">
        <v>0.18032959999999998</v>
      </c>
      <c r="E124" s="36">
        <v>9.0833333333333335E-2</v>
      </c>
      <c r="F124" s="36">
        <v>0.225412</v>
      </c>
      <c r="G124" s="36">
        <v>0.109</v>
      </c>
      <c r="H124" s="36">
        <v>0.27049440000000002</v>
      </c>
      <c r="I124" s="36">
        <v>0.20300000000000001</v>
      </c>
      <c r="J124" s="36">
        <v>0.50376480000000001</v>
      </c>
      <c r="K124" s="37">
        <v>0.23200000000000001</v>
      </c>
      <c r="L124" s="36">
        <v>0.5757312</v>
      </c>
    </row>
    <row r="126" spans="1:12" x14ac:dyDescent="0.25">
      <c r="A126" s="97" t="s">
        <v>290</v>
      </c>
    </row>
    <row r="127" spans="1:12" x14ac:dyDescent="0.25">
      <c r="A127" s="97"/>
    </row>
    <row r="128" spans="1:12" x14ac:dyDescent="0.25">
      <c r="A128" s="161" t="s">
        <v>81</v>
      </c>
    </row>
    <row r="129" spans="1:12" x14ac:dyDescent="0.25">
      <c r="A129" s="162" t="s">
        <v>130</v>
      </c>
    </row>
    <row r="130" spans="1:12" x14ac:dyDescent="0.25">
      <c r="A130" s="163" t="s">
        <v>217</v>
      </c>
      <c r="B130" s="86"/>
    </row>
    <row r="131" spans="1:12" x14ac:dyDescent="0.25">
      <c r="A131" s="164" t="s">
        <v>85</v>
      </c>
      <c r="B131" s="86"/>
    </row>
    <row r="132" spans="1:12" ht="45" x14ac:dyDescent="0.25">
      <c r="A132" s="306" t="s">
        <v>488</v>
      </c>
    </row>
    <row r="133" spans="1:12" s="4" customFormat="1" x14ac:dyDescent="0.25">
      <c r="A133" s="316"/>
      <c r="B133" s="184"/>
      <c r="C133" s="24"/>
      <c r="D133" s="315"/>
      <c r="E133" s="24"/>
      <c r="F133" s="315"/>
      <c r="G133" s="24"/>
      <c r="H133" s="315"/>
      <c r="I133" s="24"/>
      <c r="J133" s="315"/>
      <c r="K133" s="24"/>
      <c r="L133" s="315"/>
    </row>
    <row r="134" spans="1:12" x14ac:dyDescent="0.25">
      <c r="A134" s="97" t="s">
        <v>219</v>
      </c>
    </row>
    <row r="135" spans="1:12" x14ac:dyDescent="0.25">
      <c r="A135" s="97"/>
    </row>
    <row r="136" spans="1:12" x14ac:dyDescent="0.25">
      <c r="A136" s="97" t="s">
        <v>220</v>
      </c>
      <c r="D136" s="91"/>
    </row>
    <row r="137" spans="1:12" x14ac:dyDescent="0.25">
      <c r="A137" s="97"/>
      <c r="D137" s="91"/>
    </row>
    <row r="138" spans="1:12" x14ac:dyDescent="0.25">
      <c r="A138" s="160" t="s">
        <v>258</v>
      </c>
      <c r="B138" s="147"/>
      <c r="C138" t="s">
        <v>222</v>
      </c>
      <c r="D138" s="91"/>
    </row>
    <row r="139" spans="1:12" x14ac:dyDescent="0.25">
      <c r="A139" s="147"/>
      <c r="B139" s="147"/>
      <c r="D139" s="91"/>
    </row>
    <row r="140" spans="1:12" x14ac:dyDescent="0.25">
      <c r="A140" s="148" t="s">
        <v>260</v>
      </c>
      <c r="B140" s="148" t="s">
        <v>261</v>
      </c>
      <c r="D140" s="91"/>
    </row>
    <row r="141" spans="1:12" x14ac:dyDescent="0.25">
      <c r="A141" s="158" t="s">
        <v>6</v>
      </c>
      <c r="B141" s="151" t="s">
        <v>262</v>
      </c>
      <c r="D141" s="91"/>
    </row>
    <row r="142" spans="1:12" x14ac:dyDescent="0.25">
      <c r="A142" s="158" t="s">
        <v>47</v>
      </c>
      <c r="B142" s="151" t="s">
        <v>263</v>
      </c>
      <c r="D142" s="91"/>
    </row>
    <row r="143" spans="1:12" x14ac:dyDescent="0.25">
      <c r="A143" s="158" t="s">
        <v>1</v>
      </c>
      <c r="B143" s="151" t="s">
        <v>16</v>
      </c>
      <c r="D143" s="91"/>
    </row>
    <row r="144" spans="1:12" x14ac:dyDescent="0.25">
      <c r="A144" s="158" t="s">
        <v>57</v>
      </c>
      <c r="B144" s="151" t="s">
        <v>58</v>
      </c>
      <c r="D144" s="91"/>
    </row>
    <row r="145" spans="1:4" x14ac:dyDescent="0.25">
      <c r="A145" s="158" t="s">
        <v>266</v>
      </c>
      <c r="B145" s="151" t="s">
        <v>13</v>
      </c>
      <c r="D145" s="91"/>
    </row>
    <row r="146" spans="1:4" x14ac:dyDescent="0.25">
      <c r="A146" s="158" t="s">
        <v>1</v>
      </c>
      <c r="B146" s="151" t="s">
        <v>264</v>
      </c>
      <c r="D146" s="91"/>
    </row>
    <row r="147" spans="1:4" x14ac:dyDescent="0.25">
      <c r="A147" s="158" t="s">
        <v>1</v>
      </c>
      <c r="B147" s="151" t="s">
        <v>64</v>
      </c>
    </row>
    <row r="148" spans="1:4" x14ac:dyDescent="0.25">
      <c r="A148" s="158" t="s">
        <v>73</v>
      </c>
      <c r="B148" s="151" t="s">
        <v>36</v>
      </c>
    </row>
    <row r="149" spans="1:4" x14ac:dyDescent="0.25">
      <c r="A149" s="155" t="s">
        <v>270</v>
      </c>
      <c r="B149" s="159" t="s">
        <v>107</v>
      </c>
    </row>
    <row r="150" spans="1:4" x14ac:dyDescent="0.25">
      <c r="A150" s="156" t="s">
        <v>52</v>
      </c>
      <c r="B150" s="159" t="s">
        <v>268</v>
      </c>
    </row>
    <row r="151" spans="1:4" x14ac:dyDescent="0.25">
      <c r="A151" s="156" t="s">
        <v>52</v>
      </c>
      <c r="B151" s="159" t="s">
        <v>110</v>
      </c>
    </row>
    <row r="152" spans="1:4" x14ac:dyDescent="0.25">
      <c r="A152" s="155" t="s">
        <v>270</v>
      </c>
      <c r="B152" s="159" t="s">
        <v>272</v>
      </c>
    </row>
    <row r="153" spans="1:4" x14ac:dyDescent="0.25">
      <c r="A153" s="155" t="s">
        <v>6</v>
      </c>
      <c r="B153" s="159" t="s">
        <v>275</v>
      </c>
    </row>
    <row r="154" spans="1:4" x14ac:dyDescent="0.25">
      <c r="A154" s="158" t="s">
        <v>6</v>
      </c>
      <c r="B154" s="159" t="s">
        <v>8</v>
      </c>
    </row>
    <row r="155" spans="1:4" x14ac:dyDescent="0.25">
      <c r="A155" s="158" t="s">
        <v>73</v>
      </c>
      <c r="B155" s="159" t="s">
        <v>276</v>
      </c>
    </row>
    <row r="156" spans="1:4" x14ac:dyDescent="0.25">
      <c r="A156" s="157" t="s">
        <v>274</v>
      </c>
      <c r="B156" s="159" t="s">
        <v>22</v>
      </c>
    </row>
    <row r="157" spans="1:4" x14ac:dyDescent="0.25">
      <c r="A157" s="158" t="s">
        <v>61</v>
      </c>
      <c r="B157" s="159" t="s">
        <v>106</v>
      </c>
    </row>
    <row r="158" spans="1:4" x14ac:dyDescent="0.25">
      <c r="A158" s="158" t="s">
        <v>59</v>
      </c>
      <c r="B158" s="159" t="s">
        <v>186</v>
      </c>
    </row>
    <row r="159" spans="1:4" x14ac:dyDescent="0.25">
      <c r="A159" s="158" t="s">
        <v>59</v>
      </c>
      <c r="B159" s="159" t="s">
        <v>172</v>
      </c>
    </row>
    <row r="160" spans="1:4" x14ac:dyDescent="0.25">
      <c r="A160" s="155" t="s">
        <v>270</v>
      </c>
      <c r="B160" s="159" t="s">
        <v>205</v>
      </c>
    </row>
    <row r="161" spans="1:2" x14ac:dyDescent="0.25">
      <c r="A161" s="155" t="s">
        <v>270</v>
      </c>
      <c r="B161" s="159" t="s">
        <v>205</v>
      </c>
    </row>
    <row r="162" spans="1:2" x14ac:dyDescent="0.25">
      <c r="A162" s="158" t="s">
        <v>59</v>
      </c>
      <c r="B162" s="159" t="s">
        <v>278</v>
      </c>
    </row>
    <row r="163" spans="1:2" x14ac:dyDescent="0.25">
      <c r="A163" s="158" t="s">
        <v>109</v>
      </c>
      <c r="B163" s="159" t="s">
        <v>35</v>
      </c>
    </row>
    <row r="164" spans="1:2" x14ac:dyDescent="0.25">
      <c r="A164" s="155" t="s">
        <v>2</v>
      </c>
      <c r="B164" s="159" t="s">
        <v>156</v>
      </c>
    </row>
    <row r="165" spans="1:2" x14ac:dyDescent="0.25">
      <c r="A165" s="156" t="s">
        <v>52</v>
      </c>
      <c r="B165" s="159" t="s">
        <v>209</v>
      </c>
    </row>
    <row r="166" spans="1:2" x14ac:dyDescent="0.25">
      <c r="A166" s="158" t="s">
        <v>109</v>
      </c>
      <c r="B166" s="159" t="s">
        <v>208</v>
      </c>
    </row>
    <row r="167" spans="1:2" x14ac:dyDescent="0.25">
      <c r="A167" s="158" t="s">
        <v>1</v>
      </c>
      <c r="B167" s="156" t="s">
        <v>39</v>
      </c>
    </row>
    <row r="168" spans="1:2" x14ac:dyDescent="0.25">
      <c r="A168" s="158" t="s">
        <v>61</v>
      </c>
      <c r="B168" s="156" t="s">
        <v>106</v>
      </c>
    </row>
    <row r="169" spans="1:2" x14ac:dyDescent="0.25">
      <c r="A169" s="158" t="s">
        <v>59</v>
      </c>
      <c r="B169" s="156" t="s">
        <v>180</v>
      </c>
    </row>
    <row r="170" spans="1:2" x14ac:dyDescent="0.25">
      <c r="A170" s="158" t="s">
        <v>1</v>
      </c>
      <c r="B170" s="159" t="s">
        <v>212</v>
      </c>
    </row>
    <row r="171" spans="1:2" x14ac:dyDescent="0.25">
      <c r="A171" s="157" t="s">
        <v>274</v>
      </c>
      <c r="B171" s="156" t="s">
        <v>203</v>
      </c>
    </row>
    <row r="172" spans="1:2" x14ac:dyDescent="0.25">
      <c r="A172" s="158" t="s">
        <v>6</v>
      </c>
      <c r="B172" s="156" t="s">
        <v>30</v>
      </c>
    </row>
    <row r="173" spans="1:2" x14ac:dyDescent="0.25">
      <c r="A173" s="158" t="s">
        <v>109</v>
      </c>
      <c r="B173" s="156" t="s">
        <v>279</v>
      </c>
    </row>
    <row r="174" spans="1:2" x14ac:dyDescent="0.25">
      <c r="A174" s="158" t="s">
        <v>62</v>
      </c>
      <c r="B174" s="156" t="s">
        <v>98</v>
      </c>
    </row>
    <row r="175" spans="1:2" x14ac:dyDescent="0.25">
      <c r="A175" s="158" t="s">
        <v>1</v>
      </c>
      <c r="B175" s="156" t="s">
        <v>108</v>
      </c>
    </row>
    <row r="176" spans="1:2" x14ac:dyDescent="0.25">
      <c r="A176" s="158" t="s">
        <v>2</v>
      </c>
      <c r="B176" s="156" t="s">
        <v>15</v>
      </c>
    </row>
    <row r="177" spans="1:2" x14ac:dyDescent="0.25">
      <c r="A177" s="155" t="s">
        <v>2</v>
      </c>
      <c r="B177" s="156" t="s">
        <v>67</v>
      </c>
    </row>
    <row r="178" spans="1:2" x14ac:dyDescent="0.25">
      <c r="A178" s="158" t="s">
        <v>57</v>
      </c>
      <c r="B178" s="156" t="s">
        <v>25</v>
      </c>
    </row>
    <row r="179" spans="1:2" x14ac:dyDescent="0.25">
      <c r="A179" s="158" t="s">
        <v>57</v>
      </c>
      <c r="B179" s="156" t="s">
        <v>58</v>
      </c>
    </row>
    <row r="180" spans="1:2" x14ac:dyDescent="0.25">
      <c r="A180" s="158" t="s">
        <v>1</v>
      </c>
      <c r="B180" s="156" t="s">
        <v>211</v>
      </c>
    </row>
    <row r="181" spans="1:2" x14ac:dyDescent="0.25">
      <c r="A181" s="158" t="s">
        <v>6</v>
      </c>
      <c r="B181" s="156" t="s">
        <v>17</v>
      </c>
    </row>
    <row r="182" spans="1:2" x14ac:dyDescent="0.25">
      <c r="A182" s="155" t="s">
        <v>270</v>
      </c>
      <c r="B182" s="156" t="s">
        <v>204</v>
      </c>
    </row>
    <row r="183" spans="1:2" x14ac:dyDescent="0.25">
      <c r="A183" s="156" t="s">
        <v>52</v>
      </c>
      <c r="B183" s="156" t="s">
        <v>281</v>
      </c>
    </row>
    <row r="184" spans="1:2" x14ac:dyDescent="0.25">
      <c r="A184" s="158" t="s">
        <v>1</v>
      </c>
      <c r="B184" s="156" t="s">
        <v>211</v>
      </c>
    </row>
    <row r="185" spans="1:2" x14ac:dyDescent="0.25">
      <c r="A185" s="158" t="s">
        <v>1</v>
      </c>
      <c r="B185" s="156" t="s">
        <v>17</v>
      </c>
    </row>
    <row r="186" spans="1:2" x14ac:dyDescent="0.25">
      <c r="A186" s="158" t="s">
        <v>1</v>
      </c>
      <c r="B186" s="156" t="s">
        <v>54</v>
      </c>
    </row>
    <row r="187" spans="1:2" x14ac:dyDescent="0.25">
      <c r="A187" s="158" t="s">
        <v>2</v>
      </c>
      <c r="B187" s="156" t="s">
        <v>72</v>
      </c>
    </row>
    <row r="188" spans="1:2" x14ac:dyDescent="0.25">
      <c r="A188" s="158" t="s">
        <v>23</v>
      </c>
      <c r="B188" s="156" t="s">
        <v>274</v>
      </c>
    </row>
    <row r="189" spans="1:2" x14ac:dyDescent="0.25">
      <c r="A189" s="158" t="s">
        <v>23</v>
      </c>
      <c r="B189" s="156" t="s">
        <v>173</v>
      </c>
    </row>
    <row r="190" spans="1:2" x14ac:dyDescent="0.25">
      <c r="A190" s="158" t="s">
        <v>2</v>
      </c>
      <c r="B190" s="156" t="s">
        <v>283</v>
      </c>
    </row>
    <row r="191" spans="1:2" x14ac:dyDescent="0.25">
      <c r="A191" s="156" t="s">
        <v>52</v>
      </c>
      <c r="B191" s="156" t="s">
        <v>4</v>
      </c>
    </row>
    <row r="192" spans="1:2" x14ac:dyDescent="0.25">
      <c r="A192" s="156" t="s">
        <v>6</v>
      </c>
      <c r="B192" s="156" t="s">
        <v>21</v>
      </c>
    </row>
    <row r="193" spans="1:2" x14ac:dyDescent="0.25">
      <c r="A193" s="156" t="s">
        <v>100</v>
      </c>
      <c r="B193" s="156" t="s">
        <v>27</v>
      </c>
    </row>
    <row r="194" spans="1:2" x14ac:dyDescent="0.25">
      <c r="A194" s="156" t="s">
        <v>57</v>
      </c>
      <c r="B194" s="156" t="s">
        <v>26</v>
      </c>
    </row>
    <row r="195" spans="1:2" x14ac:dyDescent="0.25">
      <c r="A195" s="156" t="s">
        <v>100</v>
      </c>
      <c r="B195" s="156" t="s">
        <v>207</v>
      </c>
    </row>
    <row r="196" spans="1:2" x14ac:dyDescent="0.25">
      <c r="A196" s="156" t="s">
        <v>100</v>
      </c>
      <c r="B196" s="156" t="s">
        <v>284</v>
      </c>
    </row>
    <row r="197" spans="1:2" x14ac:dyDescent="0.25">
      <c r="A197" s="156" t="s">
        <v>270</v>
      </c>
      <c r="B197" s="156" t="s">
        <v>285</v>
      </c>
    </row>
    <row r="198" spans="1:2" x14ac:dyDescent="0.25">
      <c r="A198" s="156" t="s">
        <v>100</v>
      </c>
      <c r="B198" s="156" t="s">
        <v>286</v>
      </c>
    </row>
    <row r="199" spans="1:2" x14ac:dyDescent="0.25">
      <c r="A199" s="157" t="s">
        <v>1</v>
      </c>
      <c r="B199" s="156" t="s">
        <v>176</v>
      </c>
    </row>
    <row r="200" spans="1:2" x14ac:dyDescent="0.25">
      <c r="A200" s="157" t="s">
        <v>109</v>
      </c>
      <c r="B200" s="156" t="s">
        <v>287</v>
      </c>
    </row>
    <row r="201" spans="1:2" x14ac:dyDescent="0.25">
      <c r="A201" s="157" t="s">
        <v>104</v>
      </c>
      <c r="B201" s="156" t="s">
        <v>173</v>
      </c>
    </row>
  </sheetData>
  <autoFilter ref="A3:L124"/>
  <mergeCells count="2">
    <mergeCell ref="A67:A68"/>
    <mergeCell ref="A81:A83"/>
  </mergeCells>
  <phoneticPr fontId="75" type="noConversion"/>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2"/>
  <sheetViews>
    <sheetView zoomScaleNormal="100" workbookViewId="0">
      <selection activeCell="D13" sqref="D13"/>
    </sheetView>
  </sheetViews>
  <sheetFormatPr baseColWidth="10" defaultColWidth="39.140625" defaultRowHeight="15" x14ac:dyDescent="0.25"/>
  <cols>
    <col min="1" max="1" width="37.42578125" style="4" bestFit="1" customWidth="1"/>
    <col min="2" max="2" width="10.5703125" bestFit="1" customWidth="1"/>
    <col min="3" max="3" width="12.28515625" bestFit="1" customWidth="1"/>
    <col min="4" max="6" width="10.5703125" bestFit="1" customWidth="1"/>
    <col min="7" max="7" width="32.42578125" bestFit="1" customWidth="1"/>
    <col min="8" max="8" width="39.140625" customWidth="1"/>
    <col min="9" max="9" width="27.28515625" customWidth="1"/>
    <col min="10" max="10" width="19.42578125" bestFit="1" customWidth="1"/>
  </cols>
  <sheetData>
    <row r="1" spans="1:10" x14ac:dyDescent="0.25">
      <c r="A1" s="490" t="s">
        <v>598</v>
      </c>
      <c r="B1" s="490"/>
      <c r="C1" s="490"/>
    </row>
    <row r="3" spans="1:10" ht="33" x14ac:dyDescent="0.25">
      <c r="A3" s="174" t="s">
        <v>93</v>
      </c>
      <c r="B3" s="18" t="s">
        <v>116</v>
      </c>
      <c r="C3" s="19" t="s">
        <v>117</v>
      </c>
      <c r="D3" s="20" t="s">
        <v>118</v>
      </c>
      <c r="E3" s="21" t="s">
        <v>119</v>
      </c>
      <c r="F3" s="22" t="s">
        <v>120</v>
      </c>
      <c r="G3" s="210" t="s">
        <v>75</v>
      </c>
      <c r="I3" s="210" t="s">
        <v>321</v>
      </c>
      <c r="J3" s="210" t="s">
        <v>261</v>
      </c>
    </row>
    <row r="4" spans="1:10" x14ac:dyDescent="0.25">
      <c r="A4" s="175" t="s">
        <v>3</v>
      </c>
      <c r="B4" s="23">
        <f>'Todas metodologías'!D6</f>
        <v>6.3544816116135994E-2</v>
      </c>
      <c r="C4" s="23">
        <f>'Todas metodologías'!F6</f>
        <v>7.943102014517002E-2</v>
      </c>
      <c r="D4" s="23">
        <f>'Todas metodologías'!H6</f>
        <v>9.5317224174204004E-2</v>
      </c>
      <c r="E4" s="23">
        <f>'Todas metodologías'!J6</f>
        <v>0.111203428203238</v>
      </c>
      <c r="F4" s="23">
        <f>'Todas metodologías'!L6</f>
        <v>0.12708963223227199</v>
      </c>
      <c r="G4" s="236" t="s">
        <v>477</v>
      </c>
      <c r="I4" s="207" t="s">
        <v>4</v>
      </c>
      <c r="J4" s="5" t="s">
        <v>5</v>
      </c>
    </row>
    <row r="5" spans="1:10" x14ac:dyDescent="0.25">
      <c r="A5" s="176" t="s">
        <v>182</v>
      </c>
      <c r="B5" s="23">
        <f>'Todas metodologías'!D7</f>
        <v>0.21939097084791426</v>
      </c>
      <c r="C5" s="23">
        <f>'Todas metodologías'!F7</f>
        <v>0.27423871355989282</v>
      </c>
      <c r="D5" s="23">
        <f>'Todas metodologías'!H7</f>
        <v>0.32908645627187133</v>
      </c>
      <c r="E5" s="23">
        <f>'Todas metodologías'!J7</f>
        <v>0.38393419898384989</v>
      </c>
      <c r="F5" s="23">
        <f>'Todas metodologías'!L7</f>
        <v>0.43878194169582851</v>
      </c>
      <c r="G5" s="236" t="s">
        <v>477</v>
      </c>
      <c r="I5" s="208" t="s">
        <v>2</v>
      </c>
      <c r="J5" s="5" t="s">
        <v>9</v>
      </c>
    </row>
    <row r="6" spans="1:10" x14ac:dyDescent="0.25">
      <c r="A6" s="176" t="s">
        <v>156</v>
      </c>
      <c r="B6" s="23">
        <f>'Todas metodologías'!D9</f>
        <v>0.14975536130234138</v>
      </c>
      <c r="C6" s="23">
        <f>'Todas metodologías'!F9</f>
        <v>0.18719420162792669</v>
      </c>
      <c r="D6" s="23">
        <f>'Todas metodologías'!H9</f>
        <v>0.22463304195351205</v>
      </c>
      <c r="E6" s="23">
        <f>'Todas metodologías'!J9</f>
        <v>0.26207188227909739</v>
      </c>
      <c r="F6" s="23">
        <f>'Todas metodologías'!L9</f>
        <v>0.29951072260468276</v>
      </c>
      <c r="G6" s="236" t="s">
        <v>478</v>
      </c>
      <c r="I6" s="797" t="s">
        <v>210</v>
      </c>
      <c r="J6" s="5" t="s">
        <v>41</v>
      </c>
    </row>
    <row r="7" spans="1:10" x14ac:dyDescent="0.25">
      <c r="A7" s="175" t="s">
        <v>6</v>
      </c>
      <c r="B7" s="23">
        <f>'Todas metodologías'!D12</f>
        <v>6.4771159639729098E-2</v>
      </c>
      <c r="C7" s="23">
        <f>'Todas metodologías'!F12</f>
        <v>8.0963949549661379E-2</v>
      </c>
      <c r="D7" s="23">
        <f>'Todas metodologías'!H12</f>
        <v>9.7156739459593647E-2</v>
      </c>
      <c r="E7" s="23">
        <f>'Todas metodologías'!J12</f>
        <v>0.11334952936952593</v>
      </c>
      <c r="F7" s="23">
        <f>'Todas metodologías'!L12</f>
        <v>0.1295423192794582</v>
      </c>
      <c r="G7" s="236" t="s">
        <v>478</v>
      </c>
      <c r="I7" s="797"/>
      <c r="J7" s="5" t="s">
        <v>11</v>
      </c>
    </row>
    <row r="8" spans="1:10" x14ac:dyDescent="0.25">
      <c r="A8" s="205" t="s">
        <v>7</v>
      </c>
      <c r="B8" s="206">
        <f>B19</f>
        <v>4.2905184381875593E-2</v>
      </c>
      <c r="C8" s="206">
        <f>C19</f>
        <v>0.11203292161465764</v>
      </c>
      <c r="D8" s="206">
        <f>D19</f>
        <v>0.20516585167863827</v>
      </c>
      <c r="E8" s="206">
        <f>E19</f>
        <v>0.34790001540782683</v>
      </c>
      <c r="F8" s="206">
        <f>F19</f>
        <v>0.39760001760894487</v>
      </c>
      <c r="G8" s="236" t="s">
        <v>358</v>
      </c>
      <c r="I8" s="798" t="s">
        <v>297</v>
      </c>
      <c r="J8" s="5" t="s">
        <v>69</v>
      </c>
    </row>
    <row r="9" spans="1:10" x14ac:dyDescent="0.25">
      <c r="A9" s="165" t="s">
        <v>8</v>
      </c>
      <c r="B9" s="23">
        <f>'Todas metodologías'!D15</f>
        <v>5.9604517312365456E-2</v>
      </c>
      <c r="C9" s="23">
        <f>'Todas metodologías'!F15</f>
        <v>7.4505646640456821E-2</v>
      </c>
      <c r="D9" s="23">
        <f>'Todas metodologías'!H15</f>
        <v>8.9406775968548208E-2</v>
      </c>
      <c r="E9" s="23">
        <f>'Todas metodologías'!J15</f>
        <v>0.10430790529663955</v>
      </c>
      <c r="F9" s="23">
        <f>'Todas metodologías'!L15</f>
        <v>0.11920903462473091</v>
      </c>
      <c r="G9" s="236" t="s">
        <v>478</v>
      </c>
      <c r="I9" s="798"/>
      <c r="J9" s="5" t="s">
        <v>18</v>
      </c>
    </row>
    <row r="10" spans="1:10" x14ac:dyDescent="0.25">
      <c r="A10" s="177" t="s">
        <v>2</v>
      </c>
      <c r="B10" s="23">
        <f>'Todas metodologías'!D20</f>
        <v>6.2278228970051946E-2</v>
      </c>
      <c r="C10" s="23">
        <f>'Todas metodologías'!F20</f>
        <v>7.784778621256494E-2</v>
      </c>
      <c r="D10" s="23">
        <f>'Todas metodologías'!H20</f>
        <v>9.3417343455077906E-2</v>
      </c>
      <c r="E10" s="23">
        <f>'Todas metodologías'!J20</f>
        <v>0.1089869006975909</v>
      </c>
      <c r="F10" s="23">
        <f>'Todas metodologías'!L20</f>
        <v>0.12455645794010389</v>
      </c>
      <c r="G10" s="236" t="s">
        <v>478</v>
      </c>
      <c r="I10" s="798"/>
      <c r="J10" s="5" t="s">
        <v>19</v>
      </c>
    </row>
    <row r="11" spans="1:10" x14ac:dyDescent="0.25">
      <c r="A11" s="205" t="s">
        <v>9</v>
      </c>
      <c r="B11" s="206">
        <f>B10</f>
        <v>6.2278228970051946E-2</v>
      </c>
      <c r="C11" s="206">
        <f>C10</f>
        <v>7.784778621256494E-2</v>
      </c>
      <c r="D11" s="206">
        <f>D10</f>
        <v>9.3417343455077906E-2</v>
      </c>
      <c r="E11" s="206">
        <f>E10</f>
        <v>0.1089869006975909</v>
      </c>
      <c r="F11" s="206">
        <f>F10</f>
        <v>0.12455645794010389</v>
      </c>
      <c r="G11" s="236" t="s">
        <v>358</v>
      </c>
      <c r="I11" s="798"/>
      <c r="J11" s="5" t="s">
        <v>20</v>
      </c>
    </row>
    <row r="12" spans="1:10" x14ac:dyDescent="0.25">
      <c r="A12" s="178" t="s">
        <v>10</v>
      </c>
      <c r="B12" s="23">
        <f>'Todas metodologías'!D24</f>
        <v>0.1241181539518298</v>
      </c>
      <c r="C12" s="23">
        <f>'Todas metodologías'!F24</f>
        <v>0.15514769243978724</v>
      </c>
      <c r="D12" s="23">
        <f>'Todas metodologías'!H24</f>
        <v>0.18617723092774471</v>
      </c>
      <c r="E12" s="23">
        <f>'Todas metodologías'!J24</f>
        <v>0.21720676941570213</v>
      </c>
      <c r="F12" s="23">
        <f>'Todas metodologías'!L24</f>
        <v>0.24823630790365961</v>
      </c>
      <c r="G12" s="236" t="s">
        <v>478</v>
      </c>
      <c r="I12" s="797" t="s">
        <v>17</v>
      </c>
      <c r="J12" s="5" t="s">
        <v>27</v>
      </c>
    </row>
    <row r="13" spans="1:10" x14ac:dyDescent="0.25">
      <c r="A13" s="94" t="s">
        <v>172</v>
      </c>
      <c r="B13" s="23">
        <f>'Todas metodologías'!D25</f>
        <v>6.1960458449175387E-2</v>
      </c>
      <c r="C13" s="23">
        <f>'Todas metodologías'!F25</f>
        <v>7.7450573061469213E-2</v>
      </c>
      <c r="D13" s="23">
        <f>'Todas metodologías'!H25</f>
        <v>9.2940687673763067E-2</v>
      </c>
      <c r="E13" s="23">
        <f>'Todas metodologías'!J25</f>
        <v>0.10843080228605692</v>
      </c>
      <c r="F13" s="23">
        <f>'Todas metodologías'!L25</f>
        <v>0.12392091689835077</v>
      </c>
      <c r="G13" s="236" t="s">
        <v>478</v>
      </c>
      <c r="I13" s="797"/>
      <c r="J13" s="5" t="s">
        <v>28</v>
      </c>
    </row>
    <row r="14" spans="1:10" x14ac:dyDescent="0.25">
      <c r="A14" s="205" t="s">
        <v>11</v>
      </c>
      <c r="B14" s="206">
        <f>B65</f>
        <v>0.34624258854033912</v>
      </c>
      <c r="C14" s="206">
        <f>C65</f>
        <v>0.63416449134559993</v>
      </c>
      <c r="D14" s="206">
        <f>D65</f>
        <v>1.2964681323565146</v>
      </c>
      <c r="E14" s="206">
        <f>E65</f>
        <v>2.8776869027198626</v>
      </c>
      <c r="F14" s="206">
        <f>F65</f>
        <v>3.4048640619376549</v>
      </c>
      <c r="G14" s="236" t="s">
        <v>358</v>
      </c>
      <c r="I14" s="797"/>
      <c r="J14" s="5" t="s">
        <v>29</v>
      </c>
    </row>
    <row r="15" spans="1:10" x14ac:dyDescent="0.25">
      <c r="A15" s="205" t="s">
        <v>12</v>
      </c>
      <c r="B15" s="206">
        <f>B62</f>
        <v>0.28554224648832599</v>
      </c>
      <c r="C15" s="206">
        <f>C62</f>
        <v>0.72002933854517226</v>
      </c>
      <c r="D15" s="206">
        <f>D62</f>
        <v>1.0064449533150317</v>
      </c>
      <c r="E15" s="206">
        <f>E62</f>
        <v>1.44499968749023</v>
      </c>
      <c r="F15" s="206">
        <f>F62</f>
        <v>1.8956012546262551</v>
      </c>
      <c r="G15" s="236" t="s">
        <v>358</v>
      </c>
      <c r="I15" s="797"/>
      <c r="J15" s="5" t="s">
        <v>33</v>
      </c>
    </row>
    <row r="16" spans="1:10" x14ac:dyDescent="0.25">
      <c r="A16" s="94" t="s">
        <v>13</v>
      </c>
      <c r="B16" s="23">
        <f>'Todas metodologías'!D28</f>
        <v>7.2902029632532592E-3</v>
      </c>
      <c r="C16" s="23">
        <f>'Todas metodologías'!F28</f>
        <v>9.1127537040665719E-3</v>
      </c>
      <c r="D16" s="23">
        <f>'Todas metodologías'!H28</f>
        <v>1.0935304444879886E-2</v>
      </c>
      <c r="E16" s="23">
        <f>'Todas metodologías'!J28</f>
        <v>1.2757855185693201E-2</v>
      </c>
      <c r="F16" s="23">
        <f>'Todas metodologías'!L28</f>
        <v>1.4580405926506518E-2</v>
      </c>
      <c r="G16" s="236" t="s">
        <v>478</v>
      </c>
      <c r="I16" s="797"/>
      <c r="J16" s="5" t="s">
        <v>34</v>
      </c>
    </row>
    <row r="17" spans="1:10" x14ac:dyDescent="0.25">
      <c r="A17" s="205" t="s">
        <v>14</v>
      </c>
      <c r="B17" s="206">
        <f>B19</f>
        <v>4.2905184381875593E-2</v>
      </c>
      <c r="C17" s="206">
        <f>C19</f>
        <v>0.11203292161465764</v>
      </c>
      <c r="D17" s="206">
        <f>D19</f>
        <v>0.20516585167863827</v>
      </c>
      <c r="E17" s="206">
        <f>E19</f>
        <v>0.34790001540782683</v>
      </c>
      <c r="F17" s="206">
        <f>F19</f>
        <v>0.39760001760894487</v>
      </c>
      <c r="G17" s="236" t="s">
        <v>358</v>
      </c>
      <c r="I17" s="797"/>
      <c r="J17" s="5" t="s">
        <v>7</v>
      </c>
    </row>
    <row r="18" spans="1:10" x14ac:dyDescent="0.25">
      <c r="A18" s="94" t="s">
        <v>15</v>
      </c>
      <c r="B18" s="23">
        <f>'Todas metodologías'!D30</f>
        <v>7.8352200436330038E-2</v>
      </c>
      <c r="C18" s="23">
        <f>'Todas metodologías'!F30</f>
        <v>9.7940250545412541E-2</v>
      </c>
      <c r="D18" s="23">
        <f>'Todas metodologías'!H30</f>
        <v>0.11752830065449504</v>
      </c>
      <c r="E18" s="23">
        <f>'Todas metodologías'!J30</f>
        <v>0.13711635076357756</v>
      </c>
      <c r="F18" s="23">
        <f>'Todas metodologías'!L30</f>
        <v>0.15670440087266008</v>
      </c>
      <c r="G18" s="236" t="s">
        <v>478</v>
      </c>
      <c r="I18" s="797"/>
      <c r="J18" s="5" t="s">
        <v>50</v>
      </c>
    </row>
    <row r="19" spans="1:10" x14ac:dyDescent="0.25">
      <c r="A19" s="188" t="s">
        <v>17</v>
      </c>
      <c r="B19" s="203">
        <f>B23</f>
        <v>4.2905184381875593E-2</v>
      </c>
      <c r="C19" s="203">
        <f>C23</f>
        <v>0.11203292161465764</v>
      </c>
      <c r="D19" s="203">
        <f>D23</f>
        <v>0.20516585167863827</v>
      </c>
      <c r="E19" s="203">
        <f>E23</f>
        <v>0.34790001540782683</v>
      </c>
      <c r="F19" s="203">
        <f>F23</f>
        <v>0.39760001760894487</v>
      </c>
      <c r="G19" s="236" t="s">
        <v>478</v>
      </c>
      <c r="I19" s="797"/>
      <c r="J19" s="5" t="s">
        <v>63</v>
      </c>
    </row>
    <row r="20" spans="1:10" x14ac:dyDescent="0.25">
      <c r="A20" s="205" t="s">
        <v>18</v>
      </c>
      <c r="B20" s="206">
        <f>B57</f>
        <v>3.1829804580021943E-2</v>
      </c>
      <c r="C20" s="206">
        <f>C57</f>
        <v>4.8315700463393098E-2</v>
      </c>
      <c r="D20" s="206">
        <f>D57</f>
        <v>5.797884055607172E-2</v>
      </c>
      <c r="E20" s="206">
        <f>E57</f>
        <v>0.11616913219309503</v>
      </c>
      <c r="F20" s="206">
        <f>F57</f>
        <v>0.14741916710201577</v>
      </c>
      <c r="G20" s="236" t="s">
        <v>358</v>
      </c>
      <c r="I20" s="797"/>
      <c r="J20" s="5" t="s">
        <v>14</v>
      </c>
    </row>
    <row r="21" spans="1:10" x14ac:dyDescent="0.25">
      <c r="A21" s="205" t="s">
        <v>19</v>
      </c>
      <c r="B21" s="206">
        <f>B57</f>
        <v>3.1829804580021943E-2</v>
      </c>
      <c r="C21" s="206">
        <f>C57</f>
        <v>4.8315700463393098E-2</v>
      </c>
      <c r="D21" s="206">
        <f>D57</f>
        <v>5.797884055607172E-2</v>
      </c>
      <c r="E21" s="206">
        <f>E57</f>
        <v>0.11616913219309503</v>
      </c>
      <c r="F21" s="206">
        <f>F57</f>
        <v>0.14741916710201577</v>
      </c>
      <c r="G21" s="236" t="s">
        <v>358</v>
      </c>
      <c r="I21" s="207" t="s">
        <v>211</v>
      </c>
      <c r="J21" s="5" t="s">
        <v>40</v>
      </c>
    </row>
    <row r="22" spans="1:10" x14ac:dyDescent="0.25">
      <c r="A22" s="205" t="s">
        <v>20</v>
      </c>
      <c r="B22" s="206">
        <f>B57</f>
        <v>3.1829804580021943E-2</v>
      </c>
      <c r="C22" s="206">
        <f>C57</f>
        <v>4.8315700463393098E-2</v>
      </c>
      <c r="D22" s="206">
        <f>D57</f>
        <v>5.797884055607172E-2</v>
      </c>
      <c r="E22" s="206">
        <f>E57</f>
        <v>0.11616913219309503</v>
      </c>
      <c r="F22" s="206">
        <f>F57</f>
        <v>0.14741916710201577</v>
      </c>
      <c r="G22" s="236" t="s">
        <v>358</v>
      </c>
      <c r="I22" s="207" t="s">
        <v>110</v>
      </c>
      <c r="J22" s="5" t="s">
        <v>51</v>
      </c>
    </row>
    <row r="23" spans="1:10" x14ac:dyDescent="0.25">
      <c r="A23" s="207" t="s">
        <v>603</v>
      </c>
      <c r="B23" s="23">
        <f>'Todas metodologías'!D35</f>
        <v>4.2905184381875593E-2</v>
      </c>
      <c r="C23" s="23">
        <f>'Todas metodologías'!F35</f>
        <v>0.11203292161465764</v>
      </c>
      <c r="D23" s="23">
        <f>'Todas metodologías'!H35</f>
        <v>0.20516585167863827</v>
      </c>
      <c r="E23" s="23">
        <f>'Todas metodologías'!J35</f>
        <v>0.34790001540782683</v>
      </c>
      <c r="F23" s="23">
        <f>'Todas metodologías'!L35</f>
        <v>0.39760001760894487</v>
      </c>
      <c r="G23" s="236" t="s">
        <v>478</v>
      </c>
      <c r="I23" s="211" t="s">
        <v>54</v>
      </c>
      <c r="J23" s="5" t="s">
        <v>29</v>
      </c>
    </row>
    <row r="24" spans="1:10" x14ac:dyDescent="0.25">
      <c r="A24" s="177" t="s">
        <v>22</v>
      </c>
      <c r="B24" s="23">
        <f>'Todas metodologías'!D38</f>
        <v>0.40481930196049593</v>
      </c>
      <c r="C24" s="23">
        <f>'Todas metodologías'!F38</f>
        <v>0.99657840558360089</v>
      </c>
      <c r="D24" s="23">
        <f>'Todas metodologías'!H38</f>
        <v>1.5658280222622489</v>
      </c>
      <c r="E24" s="23">
        <f>'Todas metodologías'!J38</f>
        <v>2.2347041313747185</v>
      </c>
      <c r="F24" s="23">
        <f>'Todas metodologías'!L38</f>
        <v>3.5316719948964348</v>
      </c>
      <c r="G24" s="236" t="s">
        <v>478</v>
      </c>
      <c r="I24" s="212"/>
      <c r="J24" s="5" t="s">
        <v>55</v>
      </c>
    </row>
    <row r="25" spans="1:10" x14ac:dyDescent="0.25">
      <c r="A25" s="177" t="s">
        <v>23</v>
      </c>
      <c r="B25" s="23">
        <f>'Todas metodologías'!D41</f>
        <v>0.56958214626885495</v>
      </c>
      <c r="C25" s="23">
        <f>'Todas metodologías'!F41</f>
        <v>1.3908497572587581</v>
      </c>
      <c r="D25" s="23">
        <f>'Todas metodologías'!H41</f>
        <v>2.0361298403169146</v>
      </c>
      <c r="E25" s="23">
        <f>'Todas metodologías'!J41</f>
        <v>2.9973328241580197</v>
      </c>
      <c r="F25" s="23">
        <f>'Todas metodologías'!L41</f>
        <v>4.8736009360390691</v>
      </c>
      <c r="G25" s="236" t="s">
        <v>478</v>
      </c>
      <c r="I25" s="209" t="s">
        <v>212</v>
      </c>
      <c r="J25" s="5" t="s">
        <v>70</v>
      </c>
    </row>
    <row r="26" spans="1:10" x14ac:dyDescent="0.25">
      <c r="A26" s="177" t="s">
        <v>24</v>
      </c>
      <c r="B26" s="23">
        <f>'Todas metodologías'!D46</f>
        <v>3.769774343225004E-3</v>
      </c>
      <c r="C26" s="23">
        <f>'Todas metodologías'!F46</f>
        <v>2.2674170139378728E-2</v>
      </c>
      <c r="D26" s="23">
        <f>'Todas metodologías'!H46</f>
        <v>2.720900416725448E-2</v>
      </c>
      <c r="E26" s="23">
        <f>'Todas metodologías'!J46</f>
        <v>6.9703150798753E-2</v>
      </c>
      <c r="F26" s="23">
        <f>'Todas metodologías'!L46</f>
        <v>0.22629552729785765</v>
      </c>
      <c r="G26" s="236" t="s">
        <v>479</v>
      </c>
      <c r="I26" s="209"/>
      <c r="J26" s="207" t="s">
        <v>71</v>
      </c>
    </row>
    <row r="27" spans="1:10" x14ac:dyDescent="0.25">
      <c r="A27" s="177" t="s">
        <v>1</v>
      </c>
      <c r="B27" s="23">
        <f>'Todas metodologías'!D49</f>
        <v>9.0997276417428483E-2</v>
      </c>
      <c r="C27" s="23">
        <f>'Todas metodologías'!F49</f>
        <v>0.11374659552178558</v>
      </c>
      <c r="D27" s="23">
        <f>'Todas metodologías'!H49</f>
        <v>0.18470565168801564</v>
      </c>
      <c r="E27" s="23">
        <f>'Todas metodologías'!J49</f>
        <v>0.28736688910270414</v>
      </c>
      <c r="F27" s="23">
        <f>'Todas metodologías'!L49</f>
        <v>0.32841930183166185</v>
      </c>
      <c r="G27" s="236" t="s">
        <v>478</v>
      </c>
      <c r="I27" s="178" t="s">
        <v>10</v>
      </c>
      <c r="J27" s="94" t="s">
        <v>312</v>
      </c>
    </row>
    <row r="28" spans="1:10" x14ac:dyDescent="0.25">
      <c r="A28" s="94" t="s">
        <v>25</v>
      </c>
      <c r="B28" s="23">
        <f>'Todas metodologías'!D50</f>
        <v>3.1871348877880464E-2</v>
      </c>
      <c r="C28" s="23">
        <f>'Todas metodologías'!F50</f>
        <v>3.9839186097350585E-2</v>
      </c>
      <c r="D28" s="23">
        <f>'Todas metodologías'!H50</f>
        <v>4.7807023316820692E-2</v>
      </c>
      <c r="E28" s="23">
        <f>'Todas metodologías'!J50</f>
        <v>8.388718973868918E-2</v>
      </c>
      <c r="F28" s="23">
        <f>'Todas metodologías'!L50</f>
        <v>9.5871073987073341E-2</v>
      </c>
      <c r="G28" s="236" t="s">
        <v>478</v>
      </c>
      <c r="I28" s="208" t="s">
        <v>52</v>
      </c>
      <c r="J28" s="5" t="s">
        <v>12</v>
      </c>
    </row>
    <row r="29" spans="1:10" x14ac:dyDescent="0.25">
      <c r="A29" s="94" t="s">
        <v>26</v>
      </c>
      <c r="B29" s="23">
        <f>'Todas metodologías'!D51</f>
        <v>3.5895556554346862E-2</v>
      </c>
      <c r="C29" s="23">
        <f>'Todas metodologías'!F51</f>
        <v>4.4869445692933579E-2</v>
      </c>
      <c r="D29" s="23">
        <f>'Todas metodologías'!H51</f>
        <v>5.3843334831520297E-2</v>
      </c>
      <c r="E29" s="23">
        <f>'Todas metodologías'!J51</f>
        <v>0.12009784588996364</v>
      </c>
      <c r="F29" s="23">
        <f>'Todas metodologías'!L51</f>
        <v>0.13725468101710131</v>
      </c>
      <c r="G29" s="236" t="s">
        <v>478</v>
      </c>
    </row>
    <row r="30" spans="1:10" x14ac:dyDescent="0.25">
      <c r="A30" s="204" t="s">
        <v>312</v>
      </c>
      <c r="B30" s="23">
        <f>B12</f>
        <v>0.1241181539518298</v>
      </c>
      <c r="C30" s="23">
        <f>C12</f>
        <v>0.15514769243978724</v>
      </c>
      <c r="D30" s="23">
        <f>D12</f>
        <v>0.18617723092774471</v>
      </c>
      <c r="E30" s="23">
        <f>E12</f>
        <v>0.21720676941570213</v>
      </c>
      <c r="F30" s="23">
        <f>F12</f>
        <v>0.24823630790365961</v>
      </c>
      <c r="G30" s="236" t="s">
        <v>358</v>
      </c>
      <c r="I30" t="s">
        <v>322</v>
      </c>
    </row>
    <row r="31" spans="1:10" x14ac:dyDescent="0.25">
      <c r="A31" s="94" t="s">
        <v>204</v>
      </c>
      <c r="B31" s="23">
        <f>'Todas metodologías'!D52</f>
        <v>1.138475443544619E-2</v>
      </c>
      <c r="C31" s="23">
        <f>'Todas metodologías'!F52</f>
        <v>1.4230943044307736E-2</v>
      </c>
      <c r="D31" s="23">
        <f>'Todas metodologías'!H52</f>
        <v>1.7077131653169285E-2</v>
      </c>
      <c r="E31" s="23">
        <f>'Todas metodologías'!J52</f>
        <v>1.9923320262030829E-2</v>
      </c>
      <c r="F31" s="23">
        <f>'Todas metodologías'!L52</f>
        <v>2.276950887089238E-2</v>
      </c>
      <c r="G31" s="236" t="s">
        <v>477</v>
      </c>
      <c r="I31" t="s">
        <v>323</v>
      </c>
    </row>
    <row r="32" spans="1:10" x14ac:dyDescent="0.25">
      <c r="A32" s="94" t="s">
        <v>205</v>
      </c>
      <c r="B32" s="23">
        <f>'Todas metodologías'!D53</f>
        <v>1.885541322108111E-2</v>
      </c>
      <c r="C32" s="23">
        <f>'Todas metodologías'!F53</f>
        <v>2.3569266526351388E-2</v>
      </c>
      <c r="D32" s="23">
        <f>'Todas metodologías'!H53</f>
        <v>2.8283119831621666E-2</v>
      </c>
      <c r="E32" s="23">
        <f>'Todas metodologías'!J53</f>
        <v>3.2996973136891941E-2</v>
      </c>
      <c r="F32" s="23">
        <f>'Todas metodologías'!L53</f>
        <v>3.7710826442162219E-2</v>
      </c>
      <c r="G32" s="236" t="s">
        <v>477</v>
      </c>
      <c r="I32" t="s">
        <v>328</v>
      </c>
    </row>
    <row r="33" spans="1:11" x14ac:dyDescent="0.25">
      <c r="A33" s="94" t="s">
        <v>107</v>
      </c>
      <c r="B33" s="23">
        <f>'Todas metodologías'!D54</f>
        <v>1.3942374656015961E-2</v>
      </c>
      <c r="C33" s="23">
        <f>'Todas metodologías'!F54</f>
        <v>1.742796832001995E-2</v>
      </c>
      <c r="D33" s="23">
        <f>'Todas metodologías'!H54</f>
        <v>2.0913561984023939E-2</v>
      </c>
      <c r="E33" s="23">
        <f>'Todas metodologías'!J54</f>
        <v>2.4399155648027929E-2</v>
      </c>
      <c r="F33" s="23">
        <f>'Todas metodologías'!L54</f>
        <v>2.7884749312031921E-2</v>
      </c>
      <c r="G33" s="236" t="s">
        <v>477</v>
      </c>
    </row>
    <row r="34" spans="1:11" s="4" customFormat="1" x14ac:dyDescent="0.25">
      <c r="A34" s="305" t="s">
        <v>206</v>
      </c>
      <c r="B34" s="303">
        <f>'Todas metodologías'!D55</f>
        <v>0.34382433153064573</v>
      </c>
      <c r="C34" s="303">
        <f>'Todas metodologías'!F55</f>
        <v>0.42978041441330711</v>
      </c>
      <c r="D34" s="303">
        <f>'Todas metodologías'!H55</f>
        <v>0.5157364972959686</v>
      </c>
      <c r="E34" s="303">
        <f>'Todas metodologías'!J55</f>
        <v>0.60169258017863003</v>
      </c>
      <c r="F34" s="303">
        <f>'Todas metodologías'!L55</f>
        <v>0.68764866306129147</v>
      </c>
      <c r="G34" s="304" t="s">
        <v>487</v>
      </c>
      <c r="I34"/>
      <c r="J34"/>
      <c r="K34"/>
    </row>
    <row r="35" spans="1:11" x14ac:dyDescent="0.25">
      <c r="A35" s="205" t="s">
        <v>27</v>
      </c>
      <c r="B35" s="206">
        <f>B19</f>
        <v>4.2905184381875593E-2</v>
      </c>
      <c r="C35" s="206">
        <f>C19</f>
        <v>0.11203292161465764</v>
      </c>
      <c r="D35" s="206">
        <f>D19</f>
        <v>0.20516585167863827</v>
      </c>
      <c r="E35" s="206">
        <f>E19</f>
        <v>0.34790001540782683</v>
      </c>
      <c r="F35" s="206">
        <f>F19</f>
        <v>0.39760001760894487</v>
      </c>
      <c r="G35" s="236" t="s">
        <v>358</v>
      </c>
    </row>
    <row r="36" spans="1:11" x14ac:dyDescent="0.25">
      <c r="A36" s="205" t="s">
        <v>28</v>
      </c>
      <c r="B36" s="206">
        <f>B19</f>
        <v>4.2905184381875593E-2</v>
      </c>
      <c r="C36" s="206">
        <f>C19</f>
        <v>0.11203292161465764</v>
      </c>
      <c r="D36" s="206">
        <f>D19</f>
        <v>0.20516585167863827</v>
      </c>
      <c r="E36" s="206">
        <f>E19</f>
        <v>0.34790001540782683</v>
      </c>
      <c r="F36" s="206">
        <f>F19</f>
        <v>0.39760001760894487</v>
      </c>
      <c r="G36" s="236" t="s">
        <v>358</v>
      </c>
    </row>
    <row r="37" spans="1:11" x14ac:dyDescent="0.25">
      <c r="A37" s="205" t="s">
        <v>29</v>
      </c>
      <c r="B37" s="206">
        <f>B64</f>
        <v>0.14975536130234138</v>
      </c>
      <c r="C37" s="206">
        <f>C64</f>
        <v>0.18719420162792669</v>
      </c>
      <c r="D37" s="206">
        <f>D64</f>
        <v>0.22463304195351205</v>
      </c>
      <c r="E37" s="206">
        <f>E64</f>
        <v>0.26207188227909739</v>
      </c>
      <c r="F37" s="206">
        <f>F64</f>
        <v>0.29951072260468276</v>
      </c>
      <c r="G37" s="236" t="s">
        <v>358</v>
      </c>
    </row>
    <row r="38" spans="1:11" x14ac:dyDescent="0.25">
      <c r="A38" s="205" t="s">
        <v>33</v>
      </c>
      <c r="B38" s="206">
        <f>B19</f>
        <v>4.2905184381875593E-2</v>
      </c>
      <c r="C38" s="206">
        <f>C19</f>
        <v>0.11203292161465764</v>
      </c>
      <c r="D38" s="206">
        <f>D19</f>
        <v>0.20516585167863827</v>
      </c>
      <c r="E38" s="206">
        <f>E19</f>
        <v>0.34790001540782683</v>
      </c>
      <c r="F38" s="206">
        <f>F19</f>
        <v>0.39760001760894487</v>
      </c>
      <c r="G38" s="236" t="s">
        <v>358</v>
      </c>
    </row>
    <row r="39" spans="1:11" x14ac:dyDescent="0.25">
      <c r="A39" s="205" t="s">
        <v>34</v>
      </c>
      <c r="B39" s="206">
        <f>B19</f>
        <v>4.2905184381875593E-2</v>
      </c>
      <c r="C39" s="206">
        <f>C19</f>
        <v>0.11203292161465764</v>
      </c>
      <c r="D39" s="206">
        <f>D19</f>
        <v>0.20516585167863827</v>
      </c>
      <c r="E39" s="206">
        <f>E19</f>
        <v>0.34790001540782683</v>
      </c>
      <c r="F39" s="206">
        <f>F19</f>
        <v>0.39760001760894487</v>
      </c>
      <c r="G39" s="236" t="s">
        <v>358</v>
      </c>
      <c r="I39" s="4"/>
      <c r="J39" s="4"/>
    </row>
    <row r="40" spans="1:11" x14ac:dyDescent="0.25">
      <c r="A40" s="94" t="s">
        <v>186</v>
      </c>
      <c r="B40" s="23">
        <f>'Todas metodologías'!D61</f>
        <v>3.8995053250978962E-2</v>
      </c>
      <c r="C40" s="23">
        <f>'Todas metodologías'!F61</f>
        <v>4.8743816563723702E-2</v>
      </c>
      <c r="D40" s="23">
        <f>'Todas metodologías'!H61</f>
        <v>8.4081899478263639E-2</v>
      </c>
      <c r="E40" s="23">
        <f>'Todas metodologías'!J61</f>
        <v>9.8095549391307588E-2</v>
      </c>
      <c r="F40" s="23">
        <f>'Todas metodologías'!L61</f>
        <v>0.11210919930435154</v>
      </c>
      <c r="G40" s="236" t="s">
        <v>478</v>
      </c>
    </row>
    <row r="41" spans="1:11" x14ac:dyDescent="0.25">
      <c r="A41" s="94" t="s">
        <v>39</v>
      </c>
      <c r="B41" s="23">
        <f>'Todas metodologías'!D62</f>
        <v>2.5342670549338638E-2</v>
      </c>
      <c r="C41" s="23">
        <f>'Todas metodologías'!F62</f>
        <v>3.1678338186673295E-2</v>
      </c>
      <c r="D41" s="23">
        <f>'Todas metodologías'!H62</f>
        <v>8.9359935740666363E-2</v>
      </c>
      <c r="E41" s="23">
        <f>'Todas metodologías'!J62</f>
        <v>0.17131551853775909</v>
      </c>
      <c r="F41" s="23">
        <f>'Todas metodologías'!L62</f>
        <v>0.19578916404315322</v>
      </c>
      <c r="G41" s="236" t="s">
        <v>478</v>
      </c>
    </row>
    <row r="42" spans="1:11" x14ac:dyDescent="0.25">
      <c r="A42" s="205" t="s">
        <v>40</v>
      </c>
      <c r="B42" s="206">
        <f>B78</f>
        <v>0.3086707442568718</v>
      </c>
      <c r="C42" s="206">
        <f>C78</f>
        <v>0.57498705887181834</v>
      </c>
      <c r="D42" s="206">
        <f>D78</f>
        <v>0.89565940633103525</v>
      </c>
      <c r="E42" s="206">
        <f>E78</f>
        <v>1.2444439508529392</v>
      </c>
      <c r="F42" s="206">
        <f>F78</f>
        <v>1.3659285306119766</v>
      </c>
      <c r="G42" s="236" t="s">
        <v>358</v>
      </c>
    </row>
    <row r="43" spans="1:11" x14ac:dyDescent="0.25">
      <c r="A43" s="205" t="s">
        <v>41</v>
      </c>
      <c r="B43" s="206">
        <f>B65</f>
        <v>0.34624258854033912</v>
      </c>
      <c r="C43" s="206">
        <f>C65</f>
        <v>0.63416449134559993</v>
      </c>
      <c r="D43" s="206">
        <f>D65</f>
        <v>1.2964681323565146</v>
      </c>
      <c r="E43" s="206">
        <f>E65</f>
        <v>2.8776869027198626</v>
      </c>
      <c r="F43" s="206">
        <f>F65</f>
        <v>3.4048640619376549</v>
      </c>
      <c r="G43" s="236" t="s">
        <v>358</v>
      </c>
    </row>
    <row r="44" spans="1:11" x14ac:dyDescent="0.25">
      <c r="A44" s="177" t="s">
        <v>42</v>
      </c>
      <c r="B44" s="23">
        <f>'Todas metodologías'!D67</f>
        <v>2.6547327211478084E-2</v>
      </c>
      <c r="C44" s="23">
        <f>'Todas metodologías'!F67</f>
        <v>6.8345157178653956E-2</v>
      </c>
      <c r="D44" s="23">
        <f>'Todas metodologías'!H67</f>
        <v>0.13534900640836928</v>
      </c>
      <c r="E44" s="23">
        <f>'Todas metodologías'!J67</f>
        <v>0.15790717414309749</v>
      </c>
      <c r="F44" s="23">
        <f>'Todas metodologías'!L67</f>
        <v>0.1804653418778257</v>
      </c>
      <c r="G44" s="236" t="s">
        <v>477</v>
      </c>
    </row>
    <row r="45" spans="1:11" x14ac:dyDescent="0.25">
      <c r="A45" s="177" t="s">
        <v>43</v>
      </c>
      <c r="B45" s="23">
        <f>'Todas metodologías'!D72</f>
        <v>3.079439737450931E-2</v>
      </c>
      <c r="C45" s="23">
        <f>'Todas metodologías'!F72</f>
        <v>3.8492996718136628E-2</v>
      </c>
      <c r="D45" s="23">
        <f>'Todas metodologías'!H72</f>
        <v>8.21892270440258E-2</v>
      </c>
      <c r="E45" s="23">
        <f>'Todas metodologías'!J72</f>
        <v>0.1375600979341646</v>
      </c>
      <c r="F45" s="23">
        <f>'Todas metodologías'!L72</f>
        <v>0.15721154049618813</v>
      </c>
      <c r="G45" s="236" t="s">
        <v>477</v>
      </c>
    </row>
    <row r="46" spans="1:11" x14ac:dyDescent="0.25">
      <c r="A46" s="179" t="s">
        <v>292</v>
      </c>
      <c r="B46" s="23">
        <f>'Todas metodologías'!D77</f>
        <v>3.4157697129970299E-2</v>
      </c>
      <c r="C46" s="23">
        <f>'Todas metodologías'!F77</f>
        <v>4.2697121412462874E-2</v>
      </c>
      <c r="D46" s="23">
        <f>'Todas metodologías'!H77</f>
        <v>5.1236545694955449E-2</v>
      </c>
      <c r="E46" s="23">
        <f>'Todas metodologías'!J77</f>
        <v>0.10884537979242993</v>
      </c>
      <c r="F46" s="23">
        <f>'Todas metodologías'!L77</f>
        <v>0.12636076078387784</v>
      </c>
      <c r="G46" s="236" t="s">
        <v>479</v>
      </c>
    </row>
    <row r="47" spans="1:11" x14ac:dyDescent="0.25">
      <c r="A47" s="237" t="s">
        <v>373</v>
      </c>
      <c r="B47" s="238">
        <f>'Todas metodologías'!D78</f>
        <v>2.6073137524437157E-2</v>
      </c>
      <c r="C47" s="238">
        <f>'Todas metodologías'!F78</f>
        <v>3.2591421905546439E-2</v>
      </c>
      <c r="D47" s="238">
        <f>'Todas metodologías'!H78</f>
        <v>7.9197813699280514E-2</v>
      </c>
      <c r="E47" s="238">
        <f>'Todas metodologías'!J78</f>
        <v>9.2397449315827287E-2</v>
      </c>
      <c r="F47" s="238">
        <f>'Todas metodologías'!L78</f>
        <v>0.10559708493237403</v>
      </c>
      <c r="G47" s="236" t="s">
        <v>477</v>
      </c>
    </row>
    <row r="48" spans="1:11" x14ac:dyDescent="0.25">
      <c r="A48" s="179" t="s">
        <v>293</v>
      </c>
      <c r="B48" s="23">
        <f>'Todas metodologías'!D86</f>
        <v>0.2327115308614556</v>
      </c>
      <c r="C48" s="23">
        <f>'Todas metodologías'!F86</f>
        <v>0.40856203182870365</v>
      </c>
      <c r="D48" s="23">
        <f>'Todas metodologías'!H86</f>
        <v>0.58249493630952376</v>
      </c>
      <c r="E48" s="23">
        <f>'Todas metodologías'!J86</f>
        <v>0.74304199720492636</v>
      </c>
      <c r="F48" s="23">
        <f>'Todas metodologías'!L86</f>
        <v>0.91206257563956428</v>
      </c>
      <c r="G48" s="236" t="s">
        <v>479</v>
      </c>
    </row>
    <row r="49" spans="1:7" x14ac:dyDescent="0.25">
      <c r="A49" s="179" t="s">
        <v>294</v>
      </c>
      <c r="B49" s="23">
        <f>'Todas metodologías'!D87</f>
        <v>0.32827964901620366</v>
      </c>
      <c r="C49" s="23">
        <f>'Todas metodologías'!F87</f>
        <v>0.53815745067959075</v>
      </c>
      <c r="D49" s="23">
        <f>'Todas metodologías'!H87</f>
        <v>0.69121584652967782</v>
      </c>
      <c r="E49" s="23">
        <f>'Todas metodologías'!J87</f>
        <v>0.80641848761795754</v>
      </c>
      <c r="F49" s="23">
        <f>'Todas metodologías'!L87</f>
        <v>0.92162112870623725</v>
      </c>
      <c r="G49" s="236" t="s">
        <v>479</v>
      </c>
    </row>
    <row r="50" spans="1:7" x14ac:dyDescent="0.25">
      <c r="A50" s="179" t="s">
        <v>295</v>
      </c>
      <c r="B50" s="23">
        <f>'Todas metodologías'!D88</f>
        <v>0.11982849020241199</v>
      </c>
      <c r="C50" s="23">
        <f>'Todas metodologías'!F88</f>
        <v>0.14978561275301497</v>
      </c>
      <c r="D50" s="23">
        <f>'Todas metodologías'!H88</f>
        <v>0.17974273530361798</v>
      </c>
      <c r="E50" s="23">
        <f>'Todas metodologías'!J88</f>
        <v>0.26196202857543643</v>
      </c>
      <c r="F50" s="23">
        <f>'Todas metodologías'!L88</f>
        <v>0.35801687535521448</v>
      </c>
      <c r="G50" s="236" t="s">
        <v>479</v>
      </c>
    </row>
    <row r="51" spans="1:7" x14ac:dyDescent="0.25">
      <c r="A51" s="177" t="s">
        <v>151</v>
      </c>
      <c r="B51" s="23">
        <f>'Todas metodologías'!D89</f>
        <v>2.2564090284982921E-2</v>
      </c>
      <c r="C51" s="23">
        <f>'Todas metodologías'!F89</f>
        <v>2.8205112856228648E-2</v>
      </c>
      <c r="D51" s="23">
        <f>'Todas metodologías'!H89</f>
        <v>3.3846135427474382E-2</v>
      </c>
      <c r="E51" s="23">
        <f>'Todas metodologías'!J89</f>
        <v>7.9542600800647137E-2</v>
      </c>
      <c r="F51" s="23">
        <f>'Todas metodologías'!L89</f>
        <v>9.0905829486453871E-2</v>
      </c>
      <c r="G51" s="236" t="s">
        <v>477</v>
      </c>
    </row>
    <row r="52" spans="1:7" x14ac:dyDescent="0.25">
      <c r="A52" s="177" t="s">
        <v>46</v>
      </c>
      <c r="B52" s="23">
        <f>'Todas metodologías'!D93</f>
        <v>5.5735242101476262E-2</v>
      </c>
      <c r="C52" s="23">
        <f>'Todas metodologías'!F93</f>
        <v>9.7053556441893188E-2</v>
      </c>
      <c r="D52" s="23">
        <f>'Todas metodologías'!H93</f>
        <v>0.16760700183877539</v>
      </c>
      <c r="E52" s="23">
        <f>'Todas metodologías'!J93</f>
        <v>0.19554150214523794</v>
      </c>
      <c r="F52" s="23">
        <f>'Todas metodologías'!L93</f>
        <v>0.29288141063309686</v>
      </c>
      <c r="G52" s="236" t="s">
        <v>477</v>
      </c>
    </row>
    <row r="53" spans="1:7" x14ac:dyDescent="0.25">
      <c r="A53" s="177" t="s">
        <v>47</v>
      </c>
      <c r="B53" s="23">
        <f>'Todas metodologías'!D98</f>
        <v>0.4564333244723322</v>
      </c>
      <c r="C53" s="23">
        <f>'Todas metodologías'!F98</f>
        <v>0.78694276633853766</v>
      </c>
      <c r="D53" s="23">
        <f>'Todas metodologías'!H98</f>
        <v>1.1651157738742044</v>
      </c>
      <c r="E53" s="23">
        <f>'Todas metodologías'!J98</f>
        <v>1.5580231120134596</v>
      </c>
      <c r="F53" s="23">
        <f>'Todas metodologías'!L98</f>
        <v>1.7805978423010973</v>
      </c>
      <c r="G53" s="236" t="s">
        <v>479</v>
      </c>
    </row>
    <row r="54" spans="1:7" x14ac:dyDescent="0.25">
      <c r="A54" s="248" t="s">
        <v>298</v>
      </c>
      <c r="B54" s="23">
        <f>'Todas metodologías'!D105</f>
        <v>2.0214699176883854E-2</v>
      </c>
      <c r="C54" s="23">
        <f>'Todas metodologías'!F105</f>
        <v>5.0853708186201808E-2</v>
      </c>
      <c r="D54" s="23">
        <f>'Todas metodologías'!H105</f>
        <v>6.102444982344217E-2</v>
      </c>
      <c r="E54" s="23">
        <f>'Todas metodologías'!J105</f>
        <v>0.14704079816421481</v>
      </c>
      <c r="F54" s="23">
        <f>'Todas metodologías'!L105</f>
        <v>0.16804662647338833</v>
      </c>
      <c r="G54" s="236" t="s">
        <v>479</v>
      </c>
    </row>
    <row r="55" spans="1:7" x14ac:dyDescent="0.25">
      <c r="A55" s="248" t="s">
        <v>311</v>
      </c>
      <c r="B55" s="23">
        <f>'Todas metodologías'!D106</f>
        <v>3.1639288306640985E-2</v>
      </c>
      <c r="C55" s="23">
        <f>'Todas metodologías'!F106</f>
        <v>3.9549110383301236E-2</v>
      </c>
      <c r="D55" s="23">
        <f>'Todas metodologías'!H106</f>
        <v>4.7458932459961474E-2</v>
      </c>
      <c r="E55" s="23">
        <f>'Todas metodologías'!J106</f>
        <v>9.1964080011148003E-2</v>
      </c>
      <c r="F55" s="23">
        <f>'Todas metodologías'!L106</f>
        <v>0.10795822541769297</v>
      </c>
      <c r="G55" s="236" t="s">
        <v>479</v>
      </c>
    </row>
    <row r="56" spans="1:7" x14ac:dyDescent="0.25">
      <c r="A56" s="248" t="s">
        <v>296</v>
      </c>
      <c r="B56" s="23">
        <f>'Todas metodologías'!D107</f>
        <v>4.3635426256541009E-2</v>
      </c>
      <c r="C56" s="23">
        <f>'Todas metodologías'!F107</f>
        <v>5.4544282820676256E-2</v>
      </c>
      <c r="D56" s="23">
        <f>'Todas metodologías'!H107</f>
        <v>6.545313938481151E-2</v>
      </c>
      <c r="E56" s="23">
        <f>'Todas metodologías'!J107</f>
        <v>0.10950251840392226</v>
      </c>
      <c r="F56" s="23">
        <f>'Todas metodologías'!L107</f>
        <v>0.16625264941496601</v>
      </c>
      <c r="G56" s="236" t="s">
        <v>479</v>
      </c>
    </row>
    <row r="57" spans="1:7" x14ac:dyDescent="0.25">
      <c r="A57" s="248" t="s">
        <v>455</v>
      </c>
      <c r="B57" s="23">
        <f>'Todas metodologías'!D108</f>
        <v>3.1829804580021943E-2</v>
      </c>
      <c r="C57" s="23">
        <f>'Todas metodologías'!F108</f>
        <v>4.8315700463393098E-2</v>
      </c>
      <c r="D57" s="23">
        <f>'Todas metodologías'!H108</f>
        <v>5.797884055607172E-2</v>
      </c>
      <c r="E57" s="23">
        <f>'Todas metodologías'!J108</f>
        <v>0.11616913219309503</v>
      </c>
      <c r="F57" s="23">
        <f>'Todas metodologías'!L108</f>
        <v>0.14741916710201577</v>
      </c>
      <c r="G57" s="236" t="s">
        <v>477</v>
      </c>
    </row>
    <row r="58" spans="1:7" x14ac:dyDescent="0.25">
      <c r="A58" s="177" t="s">
        <v>49</v>
      </c>
      <c r="B58" s="23">
        <f>'Todas metodologías'!D111</f>
        <v>3.6603166366973285E-2</v>
      </c>
      <c r="C58" s="23">
        <f>'Todas metodologías'!F111</f>
        <v>4.5753957958716604E-2</v>
      </c>
      <c r="D58" s="23">
        <f>'Todas metodologías'!H111</f>
        <v>9.0140403287118462E-2</v>
      </c>
      <c r="E58" s="23">
        <f>'Todas metodologías'!J111</f>
        <v>0.10516380383497152</v>
      </c>
      <c r="F58" s="23">
        <f>'Todas metodologías'!L111</f>
        <v>0.12018720438282458</v>
      </c>
      <c r="G58" s="236" t="s">
        <v>477</v>
      </c>
    </row>
    <row r="59" spans="1:7" x14ac:dyDescent="0.25">
      <c r="A59" s="205" t="s">
        <v>50</v>
      </c>
      <c r="B59" s="206">
        <f>B19</f>
        <v>4.2905184381875593E-2</v>
      </c>
      <c r="C59" s="206">
        <f>C19</f>
        <v>0.11203292161465764</v>
      </c>
      <c r="D59" s="206">
        <f>D19</f>
        <v>0.20516585167863827</v>
      </c>
      <c r="E59" s="206">
        <f>E19</f>
        <v>0.34790001540782683</v>
      </c>
      <c r="F59" s="206">
        <f>F19</f>
        <v>0.39760001760894487</v>
      </c>
      <c r="G59" s="236" t="s">
        <v>358</v>
      </c>
    </row>
    <row r="60" spans="1:7" x14ac:dyDescent="0.25">
      <c r="A60" s="205" t="s">
        <v>51</v>
      </c>
      <c r="B60" s="206">
        <f>B61</f>
        <v>0.20654286732427818</v>
      </c>
      <c r="C60" s="206">
        <f>C61</f>
        <v>0.45940713286933604</v>
      </c>
      <c r="D60" s="206">
        <f>D61</f>
        <v>0.67165279962424007</v>
      </c>
      <c r="E60" s="206">
        <f>E61</f>
        <v>0.92277386354672075</v>
      </c>
      <c r="F60" s="206">
        <f>F61</f>
        <v>1.2630946245650829</v>
      </c>
      <c r="G60" s="236" t="s">
        <v>358</v>
      </c>
    </row>
    <row r="61" spans="1:7" x14ac:dyDescent="0.25">
      <c r="A61" s="94" t="s">
        <v>110</v>
      </c>
      <c r="B61" s="23">
        <f>'Todas metodologías'!D114</f>
        <v>0.20654286732427818</v>
      </c>
      <c r="C61" s="23">
        <f>'Todas metodologías'!F114</f>
        <v>0.45940713286933604</v>
      </c>
      <c r="D61" s="23">
        <f>'Todas metodologías'!H114</f>
        <v>0.67165279962424007</v>
      </c>
      <c r="E61" s="23">
        <f>'Todas metodologías'!J114</f>
        <v>0.92277386354672075</v>
      </c>
      <c r="F61" s="23">
        <f>'Todas metodologías'!L114</f>
        <v>1.2630946245650829</v>
      </c>
      <c r="G61" s="236" t="s">
        <v>478</v>
      </c>
    </row>
    <row r="62" spans="1:7" x14ac:dyDescent="0.25">
      <c r="A62" s="177" t="s">
        <v>52</v>
      </c>
      <c r="B62" s="23">
        <f>'Todas metodologías'!D117</f>
        <v>0.28554224648832599</v>
      </c>
      <c r="C62" s="23">
        <f>'Todas metodologías'!F117</f>
        <v>0.72002933854517226</v>
      </c>
      <c r="D62" s="23">
        <f>'Todas metodologías'!H117</f>
        <v>1.0064449533150317</v>
      </c>
      <c r="E62" s="23">
        <f>'Todas metodologías'!J117</f>
        <v>1.44499968749023</v>
      </c>
      <c r="F62" s="23">
        <f>'Todas metodologías'!L117</f>
        <v>1.8956012546262551</v>
      </c>
      <c r="G62" s="236" t="s">
        <v>478</v>
      </c>
    </row>
    <row r="63" spans="1:7" x14ac:dyDescent="0.25">
      <c r="A63" s="94" t="s">
        <v>209</v>
      </c>
      <c r="B63" s="23">
        <f>'Todas metodologías'!D118</f>
        <v>0.33838309337864286</v>
      </c>
      <c r="C63" s="23">
        <f>'Todas metodologías'!F118</f>
        <v>0.80520818838555264</v>
      </c>
      <c r="D63" s="23">
        <f>'Todas metodologías'!H118</f>
        <v>1.1774018251252529</v>
      </c>
      <c r="E63" s="23">
        <f>'Todas metodologías'!J118</f>
        <v>1.5544798963783533</v>
      </c>
      <c r="F63" s="23">
        <f>'Todas metodologías'!L118</f>
        <v>2.0237169627228608</v>
      </c>
      <c r="G63" s="236" t="s">
        <v>478</v>
      </c>
    </row>
    <row r="64" spans="1:7" x14ac:dyDescent="0.25">
      <c r="A64" s="188" t="s">
        <v>54</v>
      </c>
      <c r="B64" s="203">
        <f>B6</f>
        <v>0.14975536130234138</v>
      </c>
      <c r="C64" s="203">
        <f>C6</f>
        <v>0.18719420162792669</v>
      </c>
      <c r="D64" s="203">
        <f>D6</f>
        <v>0.22463304195351205</v>
      </c>
      <c r="E64" s="203">
        <f>E6</f>
        <v>0.26207188227909739</v>
      </c>
      <c r="F64" s="203">
        <f>F6</f>
        <v>0.29951072260468276</v>
      </c>
      <c r="G64" s="236" t="s">
        <v>358</v>
      </c>
    </row>
    <row r="65" spans="1:7" x14ac:dyDescent="0.25">
      <c r="A65" s="94" t="s">
        <v>210</v>
      </c>
      <c r="B65" s="23">
        <f>'Todas metodologías'!D121</f>
        <v>0.34624258854033912</v>
      </c>
      <c r="C65" s="23">
        <f>'Todas metodologías'!F121</f>
        <v>0.63416449134559993</v>
      </c>
      <c r="D65" s="23">
        <f>'Todas metodologías'!H121</f>
        <v>1.2964681323565146</v>
      </c>
      <c r="E65" s="23">
        <f>'Todas metodologías'!J121</f>
        <v>2.8776869027198626</v>
      </c>
      <c r="F65" s="23">
        <f>'Todas metodologías'!L121</f>
        <v>3.4048640619376549</v>
      </c>
      <c r="G65" s="236" t="s">
        <v>477</v>
      </c>
    </row>
    <row r="66" spans="1:7" x14ac:dyDescent="0.25">
      <c r="A66" s="205" t="s">
        <v>55</v>
      </c>
      <c r="B66" s="206">
        <f>B64</f>
        <v>0.14975536130234138</v>
      </c>
      <c r="C66" s="206">
        <f>C64</f>
        <v>0.18719420162792669</v>
      </c>
      <c r="D66" s="206">
        <f>D64</f>
        <v>0.22463304195351205</v>
      </c>
      <c r="E66" s="206">
        <f>E64</f>
        <v>0.26207188227909739</v>
      </c>
      <c r="F66" s="206">
        <f>F64</f>
        <v>0.29951072260468276</v>
      </c>
      <c r="G66" s="236" t="s">
        <v>358</v>
      </c>
    </row>
    <row r="67" spans="1:7" x14ac:dyDescent="0.25">
      <c r="A67" s="181" t="s">
        <v>180</v>
      </c>
      <c r="B67" s="23">
        <f>'Todas metodologías'!D123</f>
        <v>4.8828839094095237E-2</v>
      </c>
      <c r="C67" s="23">
        <f>'Todas metodologías'!F123</f>
        <v>6.1036048867619055E-2</v>
      </c>
      <c r="D67" s="23">
        <f>'Todas metodologías'!H123</f>
        <v>0.12721465554673028</v>
      </c>
      <c r="E67" s="23">
        <f>'Todas metodologías'!J123</f>
        <v>0.148417098137852</v>
      </c>
      <c r="F67" s="23">
        <f>'Todas metodologías'!L123</f>
        <v>0.16961954072897373</v>
      </c>
      <c r="G67" s="236" t="s">
        <v>478</v>
      </c>
    </row>
    <row r="68" spans="1:7" x14ac:dyDescent="0.25">
      <c r="A68" s="177" t="s">
        <v>57</v>
      </c>
      <c r="B68" s="23">
        <f>'Todas metodologías'!D126</f>
        <v>4.1003485800888813E-2</v>
      </c>
      <c r="C68" s="23">
        <f>'Todas metodologías'!F126</f>
        <v>5.1254357251111014E-2</v>
      </c>
      <c r="D68" s="23">
        <f>'Todas metodologías'!H126</f>
        <v>9.7556673966789992E-2</v>
      </c>
      <c r="E68" s="23">
        <f>'Todas metodologías'!J126</f>
        <v>0.11381611962792167</v>
      </c>
      <c r="F68" s="23">
        <f>'Todas metodologías'!L126</f>
        <v>0.13007556528905334</v>
      </c>
      <c r="G68" s="236" t="s">
        <v>478</v>
      </c>
    </row>
    <row r="69" spans="1:7" s="4" customFormat="1" x14ac:dyDescent="0.25">
      <c r="A69" s="305" t="s">
        <v>58</v>
      </c>
      <c r="B69" s="303">
        <f>'Todas metodologías'!D127</f>
        <v>4.8090381579979975E-2</v>
      </c>
      <c r="C69" s="303">
        <f>'Todas metodologías'!F127</f>
        <v>6.0112976974974974E-2</v>
      </c>
      <c r="D69" s="303">
        <f>'Todas metodologías'!H127</f>
        <v>7.2135572369969952E-2</v>
      </c>
      <c r="E69" s="303">
        <f>'Todas metodologías'!J127</f>
        <v>8.4158167764964945E-2</v>
      </c>
      <c r="F69" s="303">
        <f>'Todas metodologías'!L127</f>
        <v>9.6180763159959951E-2</v>
      </c>
      <c r="G69" s="304" t="s">
        <v>487</v>
      </c>
    </row>
    <row r="70" spans="1:7" x14ac:dyDescent="0.25">
      <c r="A70" s="177" t="s">
        <v>59</v>
      </c>
      <c r="B70" s="23">
        <f>'Todas metodologías'!D130</f>
        <v>5.5638922658708602E-2</v>
      </c>
      <c r="C70" s="23">
        <f>'Todas metodologías'!F130</f>
        <v>6.9548653323385751E-2</v>
      </c>
      <c r="D70" s="23">
        <f>'Todas metodologías'!H130</f>
        <v>0.17900063987112114</v>
      </c>
      <c r="E70" s="23">
        <f>'Todas metodologías'!J130</f>
        <v>0.20883407984964134</v>
      </c>
      <c r="F70" s="23">
        <f>'Todas metodologías'!L130</f>
        <v>0.23866751982816153</v>
      </c>
      <c r="G70" s="236" t="s">
        <v>478</v>
      </c>
    </row>
    <row r="71" spans="1:7" x14ac:dyDescent="0.25">
      <c r="A71" s="94" t="s">
        <v>60</v>
      </c>
      <c r="B71" s="23">
        <f>'Todas metodologías'!D131</f>
        <v>6.8552185747233832E-2</v>
      </c>
      <c r="C71" s="23">
        <f>'Todas metodologías'!F131</f>
        <v>0.12296494917176243</v>
      </c>
      <c r="D71" s="23">
        <f>'Todas metodologías'!H131</f>
        <v>0.14755793900611491</v>
      </c>
      <c r="E71" s="23">
        <f>'Todas metodologías'!J131</f>
        <v>0.23083478214715636</v>
      </c>
      <c r="F71" s="23">
        <f>'Todas metodologías'!L131</f>
        <v>0.26381117959675016</v>
      </c>
      <c r="G71" s="236" t="s">
        <v>478</v>
      </c>
    </row>
    <row r="72" spans="1:7" x14ac:dyDescent="0.25">
      <c r="A72" s="182" t="s">
        <v>61</v>
      </c>
      <c r="B72" s="23">
        <f>'Todas metodologías'!D134</f>
        <v>5.3290218724743897E-2</v>
      </c>
      <c r="C72" s="23">
        <f>'Todas metodologías'!F134</f>
        <v>6.6612773405929887E-2</v>
      </c>
      <c r="D72" s="23">
        <f>'Todas metodologías'!H134</f>
        <v>0.14793193211471187</v>
      </c>
      <c r="E72" s="23">
        <f>'Todas metodologías'!J134</f>
        <v>0.17258725413383053</v>
      </c>
      <c r="F72" s="23">
        <f>'Todas metodologías'!L134</f>
        <v>0.19724257615294916</v>
      </c>
      <c r="G72" s="236" t="s">
        <v>478</v>
      </c>
    </row>
    <row r="73" spans="1:7" x14ac:dyDescent="0.25">
      <c r="A73" s="182" t="s">
        <v>62</v>
      </c>
      <c r="B73" s="23">
        <f>'Todas metodologías'!D139</f>
        <v>7.0712917709178133E-2</v>
      </c>
      <c r="C73" s="23">
        <f>'Todas metodologías'!F139</f>
        <v>0.16039138980188405</v>
      </c>
      <c r="D73" s="23">
        <f>'Todas metodologías'!H139</f>
        <v>0.1924696677622609</v>
      </c>
      <c r="E73" s="23">
        <f>'Todas metodologías'!J139</f>
        <v>0.2245479457226377</v>
      </c>
      <c r="F73" s="23">
        <f>'Todas metodologías'!L139</f>
        <v>0.3391470055560048</v>
      </c>
      <c r="G73" s="236" t="s">
        <v>478</v>
      </c>
    </row>
    <row r="74" spans="1:7" x14ac:dyDescent="0.25">
      <c r="A74" s="94" t="s">
        <v>98</v>
      </c>
      <c r="B74" s="23">
        <f>'Todas metodologías'!D140</f>
        <v>7.2189347795831374E-2</v>
      </c>
      <c r="C74" s="23">
        <f>'Todas metodologías'!F140</f>
        <v>0.18461714815369659</v>
      </c>
      <c r="D74" s="23">
        <f>'Todas metodologías'!H140</f>
        <v>0.22154057778443589</v>
      </c>
      <c r="E74" s="23">
        <f>'Todas metodologías'!J140</f>
        <v>0.34725191193922511</v>
      </c>
      <c r="F74" s="23">
        <f>'Todas metodologías'!L140</f>
        <v>0.39685932793054296</v>
      </c>
      <c r="G74" s="236" t="s">
        <v>478</v>
      </c>
    </row>
    <row r="75" spans="1:7" s="4" customFormat="1" x14ac:dyDescent="0.25">
      <c r="A75" s="305" t="s">
        <v>106</v>
      </c>
      <c r="B75" s="303">
        <f>'Todas metodologías'!D141</f>
        <v>7.411115835844527E-2</v>
      </c>
      <c r="C75" s="303">
        <f>'Todas metodologías'!F141</f>
        <v>9.2638947948056591E-2</v>
      </c>
      <c r="D75" s="303">
        <f>'Todas metodologías'!H141</f>
        <v>0.11116673753766791</v>
      </c>
      <c r="E75" s="303">
        <f>'Todas metodologías'!J141</f>
        <v>0.12969452712727922</v>
      </c>
      <c r="F75" s="303">
        <f>'Todas metodologías'!L141</f>
        <v>0.14822231671689054</v>
      </c>
      <c r="G75" s="304" t="s">
        <v>487</v>
      </c>
    </row>
    <row r="76" spans="1:7" x14ac:dyDescent="0.25">
      <c r="A76" s="205" t="s">
        <v>63</v>
      </c>
      <c r="B76" s="206">
        <f>B19</f>
        <v>4.2905184381875593E-2</v>
      </c>
      <c r="C76" s="206">
        <f>C19</f>
        <v>0.11203292161465764</v>
      </c>
      <c r="D76" s="206">
        <f>D19</f>
        <v>0.20516585167863827</v>
      </c>
      <c r="E76" s="206">
        <f>E19</f>
        <v>0.34790001540782683</v>
      </c>
      <c r="F76" s="206">
        <f>F19</f>
        <v>0.39760001760894487</v>
      </c>
      <c r="G76" s="236" t="s">
        <v>358</v>
      </c>
    </row>
    <row r="77" spans="1:7" x14ac:dyDescent="0.25">
      <c r="A77" s="94" t="s">
        <v>64</v>
      </c>
      <c r="B77" s="23">
        <f>'Todas metodologías'!D143</f>
        <v>6.0069243142107612E-2</v>
      </c>
      <c r="C77" s="23">
        <f>'Todas metodologías'!F143</f>
        <v>0.15928794784284833</v>
      </c>
      <c r="D77" s="23">
        <f>'Todas metodologías'!H143</f>
        <v>0.19114553741141802</v>
      </c>
      <c r="E77" s="23">
        <f>'Todas metodologías'!J143</f>
        <v>0.34409212823611068</v>
      </c>
      <c r="F77" s="23">
        <f>'Todas metodologías'!L143</f>
        <v>0.39324814655555496</v>
      </c>
      <c r="G77" s="236" t="s">
        <v>478</v>
      </c>
    </row>
    <row r="78" spans="1:7" x14ac:dyDescent="0.25">
      <c r="A78" s="94" t="s">
        <v>211</v>
      </c>
      <c r="B78" s="23">
        <f>'Todas metodologías'!D144</f>
        <v>0.3086707442568718</v>
      </c>
      <c r="C78" s="23">
        <f>'Todas metodologías'!F144</f>
        <v>0.57498705887181834</v>
      </c>
      <c r="D78" s="23">
        <f>'Todas metodologías'!H144</f>
        <v>0.89565940633103525</v>
      </c>
      <c r="E78" s="23">
        <f>'Todas metodologías'!J144</f>
        <v>1.2444439508529392</v>
      </c>
      <c r="F78" s="23">
        <f>'Todas metodologías'!L144</f>
        <v>1.3659285306119766</v>
      </c>
      <c r="G78" s="236" t="s">
        <v>478</v>
      </c>
    </row>
    <row r="79" spans="1:7" x14ac:dyDescent="0.25">
      <c r="A79" s="94" t="s">
        <v>67</v>
      </c>
      <c r="B79" s="23">
        <f>'Todas metodologías'!D146</f>
        <v>0.16514543481629892</v>
      </c>
      <c r="C79" s="23">
        <f>'Todas metodologías'!F146</f>
        <v>0.20643179352037366</v>
      </c>
      <c r="D79" s="23">
        <f>'Todas metodologías'!H146</f>
        <v>0.24771815222444837</v>
      </c>
      <c r="E79" s="23">
        <f>'Todas metodologías'!J146</f>
        <v>0.28900451092852308</v>
      </c>
      <c r="F79" s="23">
        <f>'Todas metodologías'!L146</f>
        <v>0.33029086963259785</v>
      </c>
      <c r="G79" s="236" t="s">
        <v>478</v>
      </c>
    </row>
    <row r="80" spans="1:7" x14ac:dyDescent="0.25">
      <c r="A80" s="94" t="s">
        <v>212</v>
      </c>
      <c r="B80" s="23">
        <f>'Todas metodologías'!D147</f>
        <v>2.8664770594541707E-2</v>
      </c>
      <c r="C80" s="23">
        <f>'Todas metodologías'!F147</f>
        <v>6.6618224487514713E-2</v>
      </c>
      <c r="D80" s="23">
        <f>'Todas metodologías'!H147</f>
        <v>7.9941869385017642E-2</v>
      </c>
      <c r="E80" s="23">
        <f>'Todas metodologías'!J147</f>
        <v>0.14012313740352317</v>
      </c>
      <c r="F80" s="23">
        <f>'Todas metodologías'!L147</f>
        <v>0.16014072846116933</v>
      </c>
      <c r="G80" s="236" t="s">
        <v>478</v>
      </c>
    </row>
    <row r="81" spans="1:7" x14ac:dyDescent="0.25">
      <c r="A81" s="205" t="s">
        <v>69</v>
      </c>
      <c r="B81" s="206">
        <f>B57</f>
        <v>3.1829804580021943E-2</v>
      </c>
      <c r="C81" s="206">
        <f>C57</f>
        <v>4.8315700463393098E-2</v>
      </c>
      <c r="D81" s="206">
        <f>D57</f>
        <v>5.797884055607172E-2</v>
      </c>
      <c r="E81" s="206">
        <f>E57</f>
        <v>0.11616913219309503</v>
      </c>
      <c r="F81" s="206">
        <f>F57</f>
        <v>0.14741916710201577</v>
      </c>
      <c r="G81" s="236" t="s">
        <v>358</v>
      </c>
    </row>
    <row r="82" spans="1:7" x14ac:dyDescent="0.25">
      <c r="A82" s="205" t="s">
        <v>70</v>
      </c>
      <c r="B82" s="206">
        <f>B80</f>
        <v>2.8664770594541707E-2</v>
      </c>
      <c r="C82" s="206">
        <f>C80</f>
        <v>6.6618224487514713E-2</v>
      </c>
      <c r="D82" s="206">
        <f>D80</f>
        <v>7.9941869385017642E-2</v>
      </c>
      <c r="E82" s="206">
        <f>E80</f>
        <v>0.14012313740352317</v>
      </c>
      <c r="F82" s="206">
        <f>F80</f>
        <v>0.16014072846116933</v>
      </c>
      <c r="G82" s="236" t="s">
        <v>358</v>
      </c>
    </row>
    <row r="83" spans="1:7" x14ac:dyDescent="0.25">
      <c r="A83" s="204" t="s">
        <v>71</v>
      </c>
      <c r="B83" s="206">
        <f>B31</f>
        <v>1.138475443544619E-2</v>
      </c>
      <c r="C83" s="206">
        <f>C31</f>
        <v>1.4230943044307736E-2</v>
      </c>
      <c r="D83" s="206">
        <f>D31</f>
        <v>1.7077131653169285E-2</v>
      </c>
      <c r="E83" s="206">
        <f>E31</f>
        <v>1.9923320262030829E-2</v>
      </c>
      <c r="F83" s="206">
        <f>F31</f>
        <v>2.276950887089238E-2</v>
      </c>
      <c r="G83" s="236" t="s">
        <v>358</v>
      </c>
    </row>
    <row r="84" spans="1:7" x14ac:dyDescent="0.25">
      <c r="A84" s="94" t="s">
        <v>72</v>
      </c>
      <c r="B84" s="23">
        <f>'Todas metodologías'!D151</f>
        <v>5.1766168756151212E-2</v>
      </c>
      <c r="C84" s="23">
        <f>'Todas metodologías'!F151</f>
        <v>6.3233838338349224E-2</v>
      </c>
      <c r="D84" s="23">
        <f>'Todas metodologías'!H151</f>
        <v>8.7489025596783121E-2</v>
      </c>
      <c r="E84" s="23">
        <f>'Todas metodologías'!J151</f>
        <v>0.1165445654608588</v>
      </c>
      <c r="F84" s="23">
        <f>'Todas metodologías'!L151</f>
        <v>0.13319378909812432</v>
      </c>
      <c r="G84" s="236" t="s">
        <v>478</v>
      </c>
    </row>
    <row r="85" spans="1:7" x14ac:dyDescent="0.25">
      <c r="A85" s="183" t="s">
        <v>73</v>
      </c>
      <c r="B85" s="23">
        <f>'Todas metodologías'!D152</f>
        <v>0.18032959999999998</v>
      </c>
      <c r="C85" s="23">
        <f>'Todas metodologías'!F152</f>
        <v>0.225412</v>
      </c>
      <c r="D85" s="23">
        <f>'Todas metodologías'!H152</f>
        <v>0.27049440000000002</v>
      </c>
      <c r="E85" s="23">
        <f>'Todas metodologías'!J152</f>
        <v>0.50376480000000001</v>
      </c>
      <c r="F85" s="23">
        <f>'Todas metodologías'!L152</f>
        <v>0.5757312</v>
      </c>
      <c r="G85" s="236" t="s">
        <v>478</v>
      </c>
    </row>
    <row r="87" spans="1:7" x14ac:dyDescent="0.25">
      <c r="A87" s="161" t="s">
        <v>81</v>
      </c>
    </row>
    <row r="88" spans="1:7" x14ac:dyDescent="0.25">
      <c r="A88" s="162" t="s">
        <v>130</v>
      </c>
    </row>
    <row r="89" spans="1:7" x14ac:dyDescent="0.25">
      <c r="A89" s="163" t="s">
        <v>217</v>
      </c>
    </row>
    <row r="90" spans="1:7" x14ac:dyDescent="0.25">
      <c r="A90" s="164" t="s">
        <v>85</v>
      </c>
    </row>
    <row r="91" spans="1:7" x14ac:dyDescent="0.25">
      <c r="A91" s="164" t="s">
        <v>291</v>
      </c>
    </row>
    <row r="92" spans="1:7" ht="30" x14ac:dyDescent="0.25">
      <c r="A92" s="306" t="s">
        <v>488</v>
      </c>
    </row>
    <row r="95" spans="1:7" x14ac:dyDescent="0.25">
      <c r="A95" s="307" t="s">
        <v>480</v>
      </c>
    </row>
    <row r="99" spans="1:3" x14ac:dyDescent="0.25">
      <c r="A99" s="308" t="s">
        <v>483</v>
      </c>
      <c r="B99" s="309" t="s">
        <v>484</v>
      </c>
      <c r="C99" s="308" t="s">
        <v>485</v>
      </c>
    </row>
    <row r="100" spans="1:3" x14ac:dyDescent="0.25">
      <c r="A100" s="310" t="s">
        <v>206</v>
      </c>
      <c r="B100" s="311">
        <v>20</v>
      </c>
      <c r="C100" s="312">
        <v>18.7</v>
      </c>
    </row>
    <row r="101" spans="1:3" x14ac:dyDescent="0.25">
      <c r="A101" s="310" t="s">
        <v>58</v>
      </c>
      <c r="B101" s="311">
        <v>20</v>
      </c>
      <c r="C101" s="312">
        <v>90</v>
      </c>
    </row>
    <row r="102" spans="1:3" x14ac:dyDescent="0.25">
      <c r="A102" s="310" t="s">
        <v>106</v>
      </c>
      <c r="B102" s="311">
        <v>20</v>
      </c>
      <c r="C102" s="312">
        <v>80</v>
      </c>
    </row>
  </sheetData>
  <autoFilter ref="A3:G85"/>
  <mergeCells count="3">
    <mergeCell ref="I6:I7"/>
    <mergeCell ref="I8:I11"/>
    <mergeCell ref="I12:I20"/>
  </mergeCells>
  <phoneticPr fontId="75" type="noConversion"/>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8"/>
  <sheetViews>
    <sheetView workbookViewId="0">
      <selection activeCell="D4" sqref="D4"/>
    </sheetView>
  </sheetViews>
  <sheetFormatPr baseColWidth="10" defaultRowHeight="15" x14ac:dyDescent="0.25"/>
  <cols>
    <col min="1" max="1" width="32.140625" bestFit="1" customWidth="1"/>
    <col min="2" max="2" width="44" style="91" bestFit="1" customWidth="1"/>
    <col min="3" max="3" width="13.140625" style="24" hidden="1" customWidth="1"/>
    <col min="4" max="4" width="15.140625" style="24" bestFit="1" customWidth="1"/>
    <col min="5" max="5" width="13.140625" style="24" hidden="1" customWidth="1"/>
    <col min="6" max="6" width="15.140625" style="24" bestFit="1" customWidth="1"/>
    <col min="7" max="7" width="13.140625" style="24" hidden="1" customWidth="1"/>
    <col min="8" max="8" width="15.140625" style="24" bestFit="1" customWidth="1"/>
    <col min="9" max="9" width="13.140625" style="24" hidden="1" customWidth="1"/>
    <col min="10" max="10" width="15.140625" style="24" bestFit="1" customWidth="1"/>
    <col min="11" max="11" width="13.140625" style="24" hidden="1" customWidth="1"/>
    <col min="12" max="12" width="15.140625" style="24" bestFit="1" customWidth="1"/>
    <col min="13" max="13" width="16.140625" bestFit="1" customWidth="1"/>
    <col min="14" max="14" width="10" bestFit="1" customWidth="1"/>
    <col min="15" max="18" width="8.140625" bestFit="1" customWidth="1"/>
    <col min="19" max="19" width="9.140625" bestFit="1" customWidth="1"/>
    <col min="20" max="23" width="8.140625" bestFit="1" customWidth="1"/>
    <col min="24" max="24" width="9.140625" bestFit="1" customWidth="1"/>
    <col min="25" max="25" width="23.42578125" style="116" bestFit="1" customWidth="1"/>
    <col min="26" max="26" width="65" bestFit="1" customWidth="1"/>
  </cols>
  <sheetData>
    <row r="1" spans="1:26" x14ac:dyDescent="0.25">
      <c r="M1" s="515" t="s">
        <v>255</v>
      </c>
      <c r="N1" s="516"/>
      <c r="O1" s="510" t="s">
        <v>256</v>
      </c>
      <c r="P1" s="511"/>
      <c r="Q1" s="511"/>
      <c r="R1" s="511"/>
      <c r="S1" s="511"/>
      <c r="T1" s="511"/>
      <c r="U1" s="511"/>
      <c r="V1" s="511"/>
      <c r="W1" s="511"/>
      <c r="X1" s="512"/>
    </row>
    <row r="2" spans="1:26" ht="18" x14ac:dyDescent="0.35">
      <c r="M2" s="517"/>
      <c r="N2" s="518"/>
      <c r="O2" s="514" t="s">
        <v>249</v>
      </c>
      <c r="P2" s="514"/>
      <c r="Q2" s="514"/>
      <c r="R2" s="514"/>
      <c r="S2" s="514"/>
      <c r="T2" s="514" t="s">
        <v>257</v>
      </c>
      <c r="U2" s="514"/>
      <c r="V2" s="514"/>
      <c r="W2" s="514"/>
      <c r="X2" s="514"/>
    </row>
    <row r="3" spans="1:26" ht="37.5" customHeight="1" x14ac:dyDescent="0.25">
      <c r="A3" s="66" t="s">
        <v>93</v>
      </c>
      <c r="B3" s="66" t="s">
        <v>99</v>
      </c>
      <c r="C3" s="18" t="s">
        <v>111</v>
      </c>
      <c r="D3" s="18" t="s">
        <v>116</v>
      </c>
      <c r="E3" s="19" t="s">
        <v>112</v>
      </c>
      <c r="F3" s="19" t="s">
        <v>117</v>
      </c>
      <c r="G3" s="20" t="s">
        <v>113</v>
      </c>
      <c r="H3" s="20" t="s">
        <v>118</v>
      </c>
      <c r="I3" s="21" t="s">
        <v>115</v>
      </c>
      <c r="J3" s="21" t="s">
        <v>119</v>
      </c>
      <c r="K3" s="22" t="s">
        <v>114</v>
      </c>
      <c r="L3" s="22" t="s">
        <v>120</v>
      </c>
      <c r="M3" s="145" t="s">
        <v>247</v>
      </c>
      <c r="N3" s="146" t="s">
        <v>248</v>
      </c>
      <c r="O3" s="18" t="s">
        <v>250</v>
      </c>
      <c r="P3" s="19" t="s">
        <v>251</v>
      </c>
      <c r="Q3" s="20" t="s">
        <v>252</v>
      </c>
      <c r="R3" s="21" t="s">
        <v>253</v>
      </c>
      <c r="S3" s="22" t="s">
        <v>254</v>
      </c>
      <c r="T3" s="18" t="s">
        <v>250</v>
      </c>
      <c r="U3" s="19" t="s">
        <v>251</v>
      </c>
      <c r="V3" s="20" t="s">
        <v>252</v>
      </c>
      <c r="W3" s="21" t="s">
        <v>253</v>
      </c>
      <c r="X3" s="22" t="s">
        <v>254</v>
      </c>
      <c r="Y3" s="66" t="s">
        <v>75</v>
      </c>
      <c r="Z3" s="11" t="s">
        <v>76</v>
      </c>
    </row>
    <row r="4" spans="1:26" x14ac:dyDescent="0.25">
      <c r="A4" s="82" t="s">
        <v>3</v>
      </c>
      <c r="B4" s="96" t="s">
        <v>218</v>
      </c>
      <c r="C4" s="37">
        <f>Datos!C4</f>
        <v>4.1428571428571433E-2</v>
      </c>
      <c r="D4" s="37">
        <f>Datos!D4</f>
        <v>5.4809516666666669E-2</v>
      </c>
      <c r="E4" s="37">
        <f>Datos!E4</f>
        <v>5.1785714285714289E-2</v>
      </c>
      <c r="F4" s="37">
        <f>Datos!F4</f>
        <v>6.8511895833333336E-2</v>
      </c>
      <c r="G4" s="37">
        <f>Datos!G4</f>
        <v>6.2142857142857146E-2</v>
      </c>
      <c r="H4" s="37">
        <f>Datos!H4</f>
        <v>8.2214275000000003E-2</v>
      </c>
      <c r="I4" s="37">
        <f>Datos!I4</f>
        <v>7.2499999999999995E-2</v>
      </c>
      <c r="J4" s="37">
        <f>Datos!J4</f>
        <v>9.5916654166666657E-2</v>
      </c>
      <c r="K4" s="37">
        <f>Datos!K4</f>
        <v>8.2857142857142865E-2</v>
      </c>
      <c r="L4" s="37">
        <f>Datos!L4</f>
        <v>0.10961903333333334</v>
      </c>
      <c r="M4" s="144">
        <v>2500</v>
      </c>
      <c r="N4" s="144">
        <v>1</v>
      </c>
      <c r="O4" s="41">
        <f>D4*M4</f>
        <v>137.02379166666668</v>
      </c>
      <c r="P4" s="41">
        <f>F4*M4</f>
        <v>171.27973958333334</v>
      </c>
      <c r="Q4" s="41">
        <f>H4*M4</f>
        <v>205.53568749999999</v>
      </c>
      <c r="R4" s="41">
        <f>J4*M4</f>
        <v>239.79163541666665</v>
      </c>
      <c r="S4" s="41">
        <f>L4*M4</f>
        <v>274.04758333333336</v>
      </c>
      <c r="T4" s="41">
        <f>O4/N4</f>
        <v>137.02379166666668</v>
      </c>
      <c r="U4" s="41">
        <f>P4/N4</f>
        <v>171.27973958333334</v>
      </c>
      <c r="V4" s="41">
        <f>Q4/N4</f>
        <v>205.53568749999999</v>
      </c>
      <c r="W4" s="41">
        <f>R4/N4</f>
        <v>239.79163541666665</v>
      </c>
      <c r="X4" s="41">
        <f>S4/N4</f>
        <v>274.04758333333336</v>
      </c>
      <c r="Y4" s="139" t="s">
        <v>130</v>
      </c>
      <c r="Z4" s="43" t="s">
        <v>131</v>
      </c>
    </row>
    <row r="5" spans="1:26" x14ac:dyDescent="0.25">
      <c r="A5" s="83" t="s">
        <v>3</v>
      </c>
      <c r="B5" s="85" t="s">
        <v>214</v>
      </c>
      <c r="C5" s="37">
        <f>Datos!C5</f>
        <v>4.8031274739990908E-2</v>
      </c>
      <c r="D5" s="37">
        <f>Datos!D5</f>
        <v>6.3544816116135994E-2</v>
      </c>
      <c r="E5" s="37">
        <f>Datos!E5</f>
        <v>6.0039093424988636E-2</v>
      </c>
      <c r="F5" s="37">
        <f>Datos!F5</f>
        <v>7.943102014517002E-2</v>
      </c>
      <c r="G5" s="37">
        <f>Datos!G5</f>
        <v>7.2046912109986358E-2</v>
      </c>
      <c r="H5" s="37">
        <f>Datos!H5</f>
        <v>9.5317224174204004E-2</v>
      </c>
      <c r="I5" s="37">
        <f>Datos!I5</f>
        <v>8.4054730794984087E-2</v>
      </c>
      <c r="J5" s="37">
        <f>Datos!J5</f>
        <v>0.111203428203238</v>
      </c>
      <c r="K5" s="37">
        <f>Datos!K5</f>
        <v>9.6062549479981815E-2</v>
      </c>
      <c r="L5" s="37">
        <f>Datos!L5</f>
        <v>0.12708963223227199</v>
      </c>
      <c r="M5" s="144">
        <v>2500</v>
      </c>
      <c r="N5" s="144">
        <v>1</v>
      </c>
      <c r="O5" s="41">
        <f>D5*M5</f>
        <v>158.86204029033999</v>
      </c>
      <c r="P5" s="41">
        <f>F5*M5</f>
        <v>198.57755036292505</v>
      </c>
      <c r="Q5" s="41">
        <f>H5*M5</f>
        <v>238.29306043551</v>
      </c>
      <c r="R5" s="41">
        <f>J5*M5</f>
        <v>278.00857050809503</v>
      </c>
      <c r="S5" s="41">
        <f>L5*M5</f>
        <v>317.72408058067998</v>
      </c>
      <c r="T5" s="41">
        <f t="shared" ref="T5:T79" si="0">O5/N5</f>
        <v>158.86204029033999</v>
      </c>
      <c r="U5" s="41">
        <f t="shared" ref="U5:U79" si="1">P5/N5</f>
        <v>198.57755036292505</v>
      </c>
      <c r="V5" s="41">
        <f t="shared" ref="V5:V79" si="2">Q5/N5</f>
        <v>238.29306043551</v>
      </c>
      <c r="W5" s="41">
        <f t="shared" ref="W5:W79" si="3">R5/N5</f>
        <v>278.00857050809503</v>
      </c>
      <c r="X5" s="41">
        <f t="shared" ref="X5:X79" si="4">S5/N5</f>
        <v>317.72408058067998</v>
      </c>
      <c r="Y5" s="140" t="s">
        <v>213</v>
      </c>
      <c r="Z5" s="43"/>
    </row>
    <row r="6" spans="1:26" s="4" customFormat="1" x14ac:dyDescent="0.25">
      <c r="A6" s="165"/>
      <c r="B6" s="95"/>
      <c r="C6" s="37">
        <f>C5</f>
        <v>4.8031274739990908E-2</v>
      </c>
      <c r="D6" s="37">
        <f t="shared" ref="D6:L6" si="5">D5</f>
        <v>6.3544816116135994E-2</v>
      </c>
      <c r="E6" s="37">
        <f t="shared" si="5"/>
        <v>6.0039093424988636E-2</v>
      </c>
      <c r="F6" s="37">
        <f t="shared" si="5"/>
        <v>7.943102014517002E-2</v>
      </c>
      <c r="G6" s="37">
        <f t="shared" si="5"/>
        <v>7.2046912109986358E-2</v>
      </c>
      <c r="H6" s="37">
        <f t="shared" si="5"/>
        <v>9.5317224174204004E-2</v>
      </c>
      <c r="I6" s="37">
        <f t="shared" si="5"/>
        <v>8.4054730794984087E-2</v>
      </c>
      <c r="J6" s="37">
        <f t="shared" si="5"/>
        <v>0.111203428203238</v>
      </c>
      <c r="K6" s="37">
        <f t="shared" si="5"/>
        <v>9.6062549479981815E-2</v>
      </c>
      <c r="L6" s="37">
        <f t="shared" si="5"/>
        <v>0.12708963223227199</v>
      </c>
      <c r="M6" s="166"/>
      <c r="N6" s="166"/>
      <c r="O6" s="167"/>
      <c r="P6" s="167"/>
      <c r="Q6" s="167"/>
      <c r="R6" s="167"/>
      <c r="S6" s="167"/>
      <c r="T6" s="167"/>
      <c r="U6" s="167"/>
      <c r="V6" s="167"/>
      <c r="W6" s="167"/>
      <c r="X6" s="167"/>
      <c r="Y6" s="168"/>
      <c r="Z6" s="169"/>
    </row>
    <row r="7" spans="1:26" x14ac:dyDescent="0.25">
      <c r="A7" s="81" t="s">
        <v>182</v>
      </c>
      <c r="B7" s="85" t="s">
        <v>214</v>
      </c>
      <c r="C7" s="37">
        <f>Datos!C6</f>
        <v>0.16582986056660684</v>
      </c>
      <c r="D7" s="37">
        <f>Datos!D6</f>
        <v>0.21939097084791426</v>
      </c>
      <c r="E7" s="37">
        <f>Datos!E6</f>
        <v>0.20728732570825856</v>
      </c>
      <c r="F7" s="37">
        <f>Datos!F6</f>
        <v>0.27423871355989282</v>
      </c>
      <c r="G7" s="37">
        <f>Datos!G6</f>
        <v>0.24874479084991025</v>
      </c>
      <c r="H7" s="37">
        <f>Datos!H6</f>
        <v>0.32908645627187133</v>
      </c>
      <c r="I7" s="37">
        <f>Datos!I6</f>
        <v>0.29020225599156196</v>
      </c>
      <c r="J7" s="37">
        <f>Datos!J6</f>
        <v>0.38393419898384989</v>
      </c>
      <c r="K7" s="37">
        <f>Datos!K6</f>
        <v>0.33165972113321368</v>
      </c>
      <c r="L7" s="37">
        <f>Datos!L6</f>
        <v>0.43878194169582851</v>
      </c>
      <c r="M7" s="144">
        <v>2500</v>
      </c>
      <c r="N7" s="144">
        <v>1</v>
      </c>
      <c r="O7" s="41">
        <f t="shared" ref="O7:O12" si="6">D7*M7</f>
        <v>548.4774271197856</v>
      </c>
      <c r="P7" s="41">
        <f t="shared" ref="P7:P12" si="7">F7*M7</f>
        <v>685.59678389973203</v>
      </c>
      <c r="Q7" s="41">
        <f t="shared" ref="Q7:Q12" si="8">H7*M7</f>
        <v>822.71614067967835</v>
      </c>
      <c r="R7" s="41">
        <f t="shared" ref="R7:R12" si="9">J7*M7</f>
        <v>959.83549745962478</v>
      </c>
      <c r="S7" s="41">
        <f t="shared" ref="S7:S12" si="10">L7*M7</f>
        <v>1096.9548542395712</v>
      </c>
      <c r="T7" s="41">
        <f t="shared" si="0"/>
        <v>548.4774271197856</v>
      </c>
      <c r="U7" s="41">
        <f t="shared" si="1"/>
        <v>685.59678389973203</v>
      </c>
      <c r="V7" s="41">
        <f t="shared" si="2"/>
        <v>822.71614067967835</v>
      </c>
      <c r="W7" s="41">
        <f t="shared" si="3"/>
        <v>959.83549745962478</v>
      </c>
      <c r="X7" s="41">
        <f t="shared" si="4"/>
        <v>1096.9548542395712</v>
      </c>
      <c r="Y7" s="140" t="s">
        <v>213</v>
      </c>
      <c r="Z7" s="43"/>
    </row>
    <row r="8" spans="1:26" x14ac:dyDescent="0.25">
      <c r="A8" s="81" t="s">
        <v>4</v>
      </c>
      <c r="B8" s="85" t="s">
        <v>214</v>
      </c>
      <c r="C8" s="37">
        <f>Datos!C7</f>
        <v>1.3848916202570057E-2</v>
      </c>
      <c r="D8" s="37">
        <f>Datos!D7</f>
        <v>3.0548862620709202E-2</v>
      </c>
      <c r="E8" s="37">
        <f>Datos!E7</f>
        <v>1.7311145253212572E-2</v>
      </c>
      <c r="F8" s="37">
        <f>Datos!F7</f>
        <v>3.8186078275886506E-2</v>
      </c>
      <c r="G8" s="37">
        <f>Datos!G7</f>
        <v>2.0773374303855088E-2</v>
      </c>
      <c r="H8" s="37">
        <f>Datos!H7</f>
        <v>4.582329393106381E-2</v>
      </c>
      <c r="I8" s="37">
        <f>Datos!I7</f>
        <v>2.4235603354497599E-2</v>
      </c>
      <c r="J8" s="37">
        <f>Datos!J7</f>
        <v>5.3460509586241108E-2</v>
      </c>
      <c r="K8" s="37">
        <f>Datos!K7</f>
        <v>2.7697832405140115E-2</v>
      </c>
      <c r="L8" s="37">
        <f>Datos!L7</f>
        <v>6.1097725241418405E-2</v>
      </c>
      <c r="M8" s="144">
        <v>2500</v>
      </c>
      <c r="N8" s="144">
        <v>1</v>
      </c>
      <c r="O8" s="41">
        <f t="shared" si="6"/>
        <v>76.372156551773003</v>
      </c>
      <c r="P8" s="41">
        <f t="shared" si="7"/>
        <v>95.465195689716268</v>
      </c>
      <c r="Q8" s="41">
        <f t="shared" si="8"/>
        <v>114.55823482765953</v>
      </c>
      <c r="R8" s="41">
        <f t="shared" si="9"/>
        <v>133.65127396560277</v>
      </c>
      <c r="S8" s="41">
        <f t="shared" si="10"/>
        <v>152.74431310354601</v>
      </c>
      <c r="T8" s="41">
        <f t="shared" si="0"/>
        <v>76.372156551773003</v>
      </c>
      <c r="U8" s="41">
        <f t="shared" si="1"/>
        <v>95.465195689716268</v>
      </c>
      <c r="V8" s="41">
        <f t="shared" si="2"/>
        <v>114.55823482765953</v>
      </c>
      <c r="W8" s="41">
        <f t="shared" si="3"/>
        <v>133.65127396560277</v>
      </c>
      <c r="X8" s="41">
        <f t="shared" si="4"/>
        <v>152.74431310354601</v>
      </c>
      <c r="Y8" s="140" t="s">
        <v>213</v>
      </c>
      <c r="Z8" s="43"/>
    </row>
    <row r="9" spans="1:26" x14ac:dyDescent="0.25">
      <c r="A9" s="81" t="s">
        <v>156</v>
      </c>
      <c r="B9" s="85" t="s">
        <v>214</v>
      </c>
      <c r="C9" s="37">
        <f>Datos!C8</f>
        <v>5.0088755536270436E-2</v>
      </c>
      <c r="D9" s="37">
        <f>Datos!D8</f>
        <v>0.14975536130234138</v>
      </c>
      <c r="E9" s="37">
        <f>Datos!E8</f>
        <v>6.2610944420338044E-2</v>
      </c>
      <c r="F9" s="37">
        <f>Datos!F8</f>
        <v>0.18719420162792669</v>
      </c>
      <c r="G9" s="37">
        <f>Datos!G8</f>
        <v>7.5133133304405658E-2</v>
      </c>
      <c r="H9" s="37">
        <f>Datos!H8</f>
        <v>0.22463304195351205</v>
      </c>
      <c r="I9" s="37">
        <f>Datos!I8</f>
        <v>8.7655322188473273E-2</v>
      </c>
      <c r="J9" s="37">
        <f>Datos!J8</f>
        <v>0.26207188227909739</v>
      </c>
      <c r="K9" s="37">
        <f>Datos!K8</f>
        <v>0.10017751107254087</v>
      </c>
      <c r="L9" s="37">
        <f>Datos!L8</f>
        <v>0.29951072260468276</v>
      </c>
      <c r="M9" s="144">
        <v>2500</v>
      </c>
      <c r="N9" s="144">
        <v>1</v>
      </c>
      <c r="O9" s="41">
        <f t="shared" si="6"/>
        <v>374.38840325585346</v>
      </c>
      <c r="P9" s="41">
        <f t="shared" si="7"/>
        <v>467.98550406981673</v>
      </c>
      <c r="Q9" s="41">
        <f t="shared" si="8"/>
        <v>561.58260488378016</v>
      </c>
      <c r="R9" s="41">
        <f t="shared" si="9"/>
        <v>655.17970569774343</v>
      </c>
      <c r="S9" s="41">
        <f t="shared" si="10"/>
        <v>748.77680651170692</v>
      </c>
      <c r="T9" s="41">
        <f t="shared" si="0"/>
        <v>374.38840325585346</v>
      </c>
      <c r="U9" s="41">
        <f t="shared" si="1"/>
        <v>467.98550406981673</v>
      </c>
      <c r="V9" s="41">
        <f t="shared" si="2"/>
        <v>561.58260488378016</v>
      </c>
      <c r="W9" s="41">
        <f t="shared" si="3"/>
        <v>655.17970569774343</v>
      </c>
      <c r="X9" s="41">
        <f t="shared" si="4"/>
        <v>748.77680651170692</v>
      </c>
      <c r="Y9" s="140" t="s">
        <v>213</v>
      </c>
      <c r="Z9" s="43"/>
    </row>
    <row r="10" spans="1:26" x14ac:dyDescent="0.25">
      <c r="A10" s="170" t="s">
        <v>5</v>
      </c>
      <c r="B10" s="171"/>
      <c r="C10" s="37">
        <f>Datos!C9</f>
        <v>0</v>
      </c>
      <c r="D10" s="37">
        <f>Datos!D9</f>
        <v>0</v>
      </c>
      <c r="E10" s="37">
        <f>Datos!E9</f>
        <v>0</v>
      </c>
      <c r="F10" s="37">
        <f>Datos!F9</f>
        <v>0</v>
      </c>
      <c r="G10" s="37">
        <f>Datos!G9</f>
        <v>0</v>
      </c>
      <c r="H10" s="37">
        <f>Datos!H9</f>
        <v>0</v>
      </c>
      <c r="I10" s="37">
        <f>Datos!I9</f>
        <v>0</v>
      </c>
      <c r="J10" s="37">
        <f>Datos!J9</f>
        <v>0</v>
      </c>
      <c r="K10" s="37">
        <f>Datos!K9</f>
        <v>0</v>
      </c>
      <c r="L10" s="37">
        <f>Datos!L9</f>
        <v>0</v>
      </c>
      <c r="M10" s="144">
        <v>2500</v>
      </c>
      <c r="N10" s="144">
        <v>1</v>
      </c>
      <c r="O10" s="41">
        <f t="shared" si="6"/>
        <v>0</v>
      </c>
      <c r="P10" s="41">
        <f t="shared" si="7"/>
        <v>0</v>
      </c>
      <c r="Q10" s="41">
        <f t="shared" si="8"/>
        <v>0</v>
      </c>
      <c r="R10" s="41">
        <f t="shared" si="9"/>
        <v>0</v>
      </c>
      <c r="S10" s="41">
        <f t="shared" si="10"/>
        <v>0</v>
      </c>
      <c r="T10" s="41">
        <f t="shared" si="0"/>
        <v>0</v>
      </c>
      <c r="U10" s="41">
        <f t="shared" si="1"/>
        <v>0</v>
      </c>
      <c r="V10" s="41">
        <f t="shared" si="2"/>
        <v>0</v>
      </c>
      <c r="W10" s="41">
        <f t="shared" si="3"/>
        <v>0</v>
      </c>
      <c r="X10" s="41">
        <f t="shared" si="4"/>
        <v>0</v>
      </c>
      <c r="Y10" s="141"/>
      <c r="Z10" s="43"/>
    </row>
    <row r="11" spans="1:26" x14ac:dyDescent="0.25">
      <c r="A11" s="82" t="s">
        <v>6</v>
      </c>
      <c r="B11" s="96" t="s">
        <v>218</v>
      </c>
      <c r="C11" s="37">
        <f>Datos!C10</f>
        <v>2.4235603354497599E-2</v>
      </c>
      <c r="D11" s="37">
        <f>Datos!D10</f>
        <v>4.3252439999999996E-2</v>
      </c>
      <c r="E11" s="37">
        <f>Datos!E10</f>
        <v>6.0999999999999999E-2</v>
      </c>
      <c r="F11" s="37">
        <f>Datos!F10</f>
        <v>0.12563804000000001</v>
      </c>
      <c r="G11" s="37">
        <f>Datos!G10</f>
        <v>0.112</v>
      </c>
      <c r="H11" s="37">
        <f>Datos!H10</f>
        <v>0.23067968000000003</v>
      </c>
      <c r="I11" s="37">
        <f>Datos!I10</f>
        <v>0.17499999999999999</v>
      </c>
      <c r="J11" s="37">
        <f>Datos!J10</f>
        <v>0.36043700000000001</v>
      </c>
      <c r="K11" s="37">
        <f>Datos!K10</f>
        <v>0.246</v>
      </c>
      <c r="L11" s="37">
        <f>Datos!L10</f>
        <v>0.50667143999999997</v>
      </c>
      <c r="M11" s="144">
        <v>2500</v>
      </c>
      <c r="N11" s="144">
        <v>1</v>
      </c>
      <c r="O11" s="41">
        <f t="shared" si="6"/>
        <v>108.13109999999999</v>
      </c>
      <c r="P11" s="41">
        <f t="shared" si="7"/>
        <v>314.0951</v>
      </c>
      <c r="Q11" s="41">
        <f t="shared" si="8"/>
        <v>576.69920000000002</v>
      </c>
      <c r="R11" s="41">
        <f t="shared" si="9"/>
        <v>901.09249999999997</v>
      </c>
      <c r="S11" s="41">
        <f t="shared" si="10"/>
        <v>1266.6786</v>
      </c>
      <c r="T11" s="41">
        <f t="shared" si="0"/>
        <v>108.13109999999999</v>
      </c>
      <c r="U11" s="41">
        <f t="shared" si="1"/>
        <v>314.0951</v>
      </c>
      <c r="V11" s="41">
        <f t="shared" si="2"/>
        <v>576.69920000000002</v>
      </c>
      <c r="W11" s="41">
        <f t="shared" si="3"/>
        <v>901.09249999999997</v>
      </c>
      <c r="X11" s="41">
        <f t="shared" si="4"/>
        <v>1266.6786</v>
      </c>
      <c r="Y11" s="139" t="s">
        <v>130</v>
      </c>
      <c r="Z11" s="43"/>
    </row>
    <row r="12" spans="1:26" x14ac:dyDescent="0.25">
      <c r="A12" s="83" t="s">
        <v>6</v>
      </c>
      <c r="B12" s="85" t="s">
        <v>214</v>
      </c>
      <c r="C12" s="37">
        <f>Datos!C11</f>
        <v>3.1447806237851809E-2</v>
      </c>
      <c r="D12" s="37">
        <f>Datos!D11</f>
        <v>6.4771159639729098E-2</v>
      </c>
      <c r="E12" s="37">
        <f>Datos!E11</f>
        <v>3.9309757797314764E-2</v>
      </c>
      <c r="F12" s="37">
        <f>Datos!F11</f>
        <v>8.0963949549661379E-2</v>
      </c>
      <c r="G12" s="37">
        <f>Datos!G11</f>
        <v>4.7171709356777711E-2</v>
      </c>
      <c r="H12" s="37">
        <f>Datos!H11</f>
        <v>9.7156739459593647E-2</v>
      </c>
      <c r="I12" s="37">
        <f>Datos!I11</f>
        <v>5.5033660916240665E-2</v>
      </c>
      <c r="J12" s="37">
        <f>Datos!J11</f>
        <v>0.11334952936952593</v>
      </c>
      <c r="K12" s="37">
        <f>Datos!K11</f>
        <v>6.2895612475703619E-2</v>
      </c>
      <c r="L12" s="37">
        <f>Datos!L11</f>
        <v>0.1295423192794582</v>
      </c>
      <c r="M12" s="144">
        <v>2500</v>
      </c>
      <c r="N12" s="144">
        <v>1</v>
      </c>
      <c r="O12" s="41">
        <f t="shared" si="6"/>
        <v>161.92789909932276</v>
      </c>
      <c r="P12" s="41">
        <f t="shared" si="7"/>
        <v>202.40987387415345</v>
      </c>
      <c r="Q12" s="41">
        <f t="shared" si="8"/>
        <v>242.89184864898411</v>
      </c>
      <c r="R12" s="41">
        <f t="shared" si="9"/>
        <v>283.37382342381483</v>
      </c>
      <c r="S12" s="41">
        <f t="shared" si="10"/>
        <v>323.85579819864552</v>
      </c>
      <c r="T12" s="41">
        <f t="shared" si="0"/>
        <v>161.92789909932276</v>
      </c>
      <c r="U12" s="41">
        <f t="shared" si="1"/>
        <v>202.40987387415345</v>
      </c>
      <c r="V12" s="41">
        <f t="shared" si="2"/>
        <v>242.89184864898411</v>
      </c>
      <c r="W12" s="41">
        <f t="shared" si="3"/>
        <v>283.37382342381483</v>
      </c>
      <c r="X12" s="41">
        <f t="shared" si="4"/>
        <v>323.85579819864552</v>
      </c>
      <c r="Y12" s="140" t="s">
        <v>213</v>
      </c>
      <c r="Z12" s="43"/>
    </row>
    <row r="13" spans="1:26" s="4" customFormat="1" x14ac:dyDescent="0.25">
      <c r="A13" s="165"/>
      <c r="B13" s="95"/>
      <c r="C13" s="37">
        <f>C12</f>
        <v>3.1447806237851809E-2</v>
      </c>
      <c r="D13" s="37">
        <f t="shared" ref="D13:L13" si="11">AVERAGE(D11:D12)</f>
        <v>5.401179981986455E-2</v>
      </c>
      <c r="E13" s="37">
        <f t="shared" si="11"/>
        <v>5.0154878898657385E-2</v>
      </c>
      <c r="F13" s="37">
        <f t="shared" si="11"/>
        <v>0.10330099477483069</v>
      </c>
      <c r="G13" s="37">
        <f t="shared" si="11"/>
        <v>7.9585854678388857E-2</v>
      </c>
      <c r="H13" s="37">
        <f t="shared" si="11"/>
        <v>0.16391820972979684</v>
      </c>
      <c r="I13" s="37">
        <f t="shared" si="11"/>
        <v>0.11501683045812033</v>
      </c>
      <c r="J13" s="37">
        <f t="shared" si="11"/>
        <v>0.23689326468476296</v>
      </c>
      <c r="K13" s="37">
        <f t="shared" si="11"/>
        <v>0.15444780623785181</v>
      </c>
      <c r="L13" s="37">
        <f t="shared" si="11"/>
        <v>0.31810687963972906</v>
      </c>
      <c r="M13" s="166"/>
      <c r="N13" s="166"/>
      <c r="O13" s="167"/>
      <c r="P13" s="167"/>
      <c r="Q13" s="167"/>
      <c r="R13" s="167"/>
      <c r="S13" s="167"/>
      <c r="T13" s="167"/>
      <c r="U13" s="167"/>
      <c r="V13" s="167"/>
      <c r="W13" s="167"/>
      <c r="X13" s="167"/>
      <c r="Y13" s="168"/>
      <c r="Z13" s="169"/>
    </row>
    <row r="14" spans="1:26" x14ac:dyDescent="0.25">
      <c r="A14" s="170" t="s">
        <v>7</v>
      </c>
      <c r="B14" s="171"/>
      <c r="C14" s="37">
        <f>Datos!C12</f>
        <v>0</v>
      </c>
      <c r="D14" s="37">
        <f>Datos!D12</f>
        <v>0</v>
      </c>
      <c r="E14" s="37">
        <f>Datos!E12</f>
        <v>0</v>
      </c>
      <c r="F14" s="37">
        <f>Datos!F12</f>
        <v>0</v>
      </c>
      <c r="G14" s="37">
        <f>Datos!G12</f>
        <v>0</v>
      </c>
      <c r="H14" s="37">
        <f>Datos!H12</f>
        <v>0</v>
      </c>
      <c r="I14" s="37">
        <f>Datos!I12</f>
        <v>0</v>
      </c>
      <c r="J14" s="37">
        <f>Datos!J12</f>
        <v>0</v>
      </c>
      <c r="K14" s="37">
        <f>Datos!K12</f>
        <v>0</v>
      </c>
      <c r="L14" s="37">
        <f>Datos!L12</f>
        <v>0</v>
      </c>
      <c r="M14" s="144">
        <v>2500</v>
      </c>
      <c r="N14" s="144">
        <v>1</v>
      </c>
      <c r="O14" s="41">
        <f t="shared" ref="O14:O19" si="12">D14*M14</f>
        <v>0</v>
      </c>
      <c r="P14" s="41">
        <f t="shared" ref="P14:P19" si="13">F14*M14</f>
        <v>0</v>
      </c>
      <c r="Q14" s="41">
        <f t="shared" ref="Q14:Q19" si="14">H14*M14</f>
        <v>0</v>
      </c>
      <c r="R14" s="41">
        <f t="shared" ref="R14:R19" si="15">J14*M14</f>
        <v>0</v>
      </c>
      <c r="S14" s="41">
        <f t="shared" ref="S14:S19" si="16">L14*M14</f>
        <v>0</v>
      </c>
      <c r="T14" s="41">
        <f t="shared" si="0"/>
        <v>0</v>
      </c>
      <c r="U14" s="41">
        <f t="shared" si="1"/>
        <v>0</v>
      </c>
      <c r="V14" s="41">
        <f t="shared" si="2"/>
        <v>0</v>
      </c>
      <c r="W14" s="41">
        <f t="shared" si="3"/>
        <v>0</v>
      </c>
      <c r="X14" s="41">
        <f t="shared" si="4"/>
        <v>0</v>
      </c>
      <c r="Y14" s="141"/>
      <c r="Z14" s="43"/>
    </row>
    <row r="15" spans="1:26" x14ac:dyDescent="0.25">
      <c r="A15" s="83" t="s">
        <v>8</v>
      </c>
      <c r="B15" s="85" t="s">
        <v>214</v>
      </c>
      <c r="C15" s="37">
        <f>Datos!C13</f>
        <v>3.0717644461124231E-2</v>
      </c>
      <c r="D15" s="37">
        <f>Datos!D13</f>
        <v>5.9604517312365456E-2</v>
      </c>
      <c r="E15" s="37">
        <f>Datos!E13</f>
        <v>3.8397055576405291E-2</v>
      </c>
      <c r="F15" s="37">
        <f>Datos!F13</f>
        <v>7.4505646640456821E-2</v>
      </c>
      <c r="G15" s="37">
        <f>Datos!G13</f>
        <v>4.6076466691686351E-2</v>
      </c>
      <c r="H15" s="37">
        <f>Datos!H13</f>
        <v>8.9406775968548208E-2</v>
      </c>
      <c r="I15" s="37">
        <f>Datos!I13</f>
        <v>5.375587780696741E-2</v>
      </c>
      <c r="J15" s="37">
        <f>Datos!J13</f>
        <v>0.10430790529663955</v>
      </c>
      <c r="K15" s="37">
        <f>Datos!K13</f>
        <v>6.1435288922248463E-2</v>
      </c>
      <c r="L15" s="37">
        <f>Datos!L13</f>
        <v>0.11920903462473091</v>
      </c>
      <c r="M15" s="144">
        <v>2500</v>
      </c>
      <c r="N15" s="144">
        <v>1</v>
      </c>
      <c r="O15" s="41">
        <f t="shared" si="12"/>
        <v>149.01129328091363</v>
      </c>
      <c r="P15" s="41">
        <f t="shared" si="13"/>
        <v>186.26411660114206</v>
      </c>
      <c r="Q15" s="41">
        <f t="shared" si="14"/>
        <v>223.51693992137052</v>
      </c>
      <c r="R15" s="41">
        <f t="shared" si="15"/>
        <v>260.76976324159887</v>
      </c>
      <c r="S15" s="41">
        <f t="shared" si="16"/>
        <v>298.02258656182727</v>
      </c>
      <c r="T15" s="41">
        <f t="shared" si="0"/>
        <v>149.01129328091363</v>
      </c>
      <c r="U15" s="41">
        <f t="shared" si="1"/>
        <v>186.26411660114206</v>
      </c>
      <c r="V15" s="41">
        <f t="shared" si="2"/>
        <v>223.51693992137052</v>
      </c>
      <c r="W15" s="41">
        <f t="shared" si="3"/>
        <v>260.76976324159887</v>
      </c>
      <c r="X15" s="41">
        <f t="shared" si="4"/>
        <v>298.02258656182727</v>
      </c>
      <c r="Y15" s="140" t="s">
        <v>213</v>
      </c>
      <c r="Z15" s="43"/>
    </row>
    <row r="16" spans="1:26" x14ac:dyDescent="0.25">
      <c r="A16" s="39" t="s">
        <v>2</v>
      </c>
      <c r="B16" s="96" t="s">
        <v>218</v>
      </c>
      <c r="C16" s="37">
        <f>Datos!C14</f>
        <v>1.0999999999999999E-2</v>
      </c>
      <c r="D16" s="37">
        <f>Datos!D14</f>
        <v>2.2141386666666665E-2</v>
      </c>
      <c r="E16" s="37">
        <f>Datos!E14</f>
        <v>0.04</v>
      </c>
      <c r="F16" s="37">
        <f>Datos!F14</f>
        <v>8.0514133333333335E-2</v>
      </c>
      <c r="G16" s="37">
        <f>Datos!G14</f>
        <v>7.3999999999999996E-2</v>
      </c>
      <c r="H16" s="37">
        <f>Datos!H14</f>
        <v>0.14895114666666667</v>
      </c>
      <c r="I16" s="37">
        <f>Datos!I14</f>
        <v>0.112</v>
      </c>
      <c r="J16" s="37">
        <f>Datos!J14</f>
        <v>0.22543957333333331</v>
      </c>
      <c r="K16" s="37">
        <f>Datos!K14</f>
        <v>0.151</v>
      </c>
      <c r="L16" s="37">
        <f>Datos!L14</f>
        <v>0.30394085333333332</v>
      </c>
      <c r="M16" s="144">
        <v>2500</v>
      </c>
      <c r="N16" s="144">
        <v>1</v>
      </c>
      <c r="O16" s="41">
        <f t="shared" si="12"/>
        <v>55.353466666666662</v>
      </c>
      <c r="P16" s="41">
        <f t="shared" si="13"/>
        <v>201.28533333333334</v>
      </c>
      <c r="Q16" s="41">
        <f t="shared" si="14"/>
        <v>372.3778666666667</v>
      </c>
      <c r="R16" s="41">
        <f t="shared" si="15"/>
        <v>563.59893333333332</v>
      </c>
      <c r="S16" s="41">
        <f t="shared" si="16"/>
        <v>759.85213333333331</v>
      </c>
      <c r="T16" s="41">
        <f t="shared" si="0"/>
        <v>55.353466666666662</v>
      </c>
      <c r="U16" s="41">
        <f t="shared" si="1"/>
        <v>201.28533333333334</v>
      </c>
      <c r="V16" s="41">
        <f t="shared" si="2"/>
        <v>372.3778666666667</v>
      </c>
      <c r="W16" s="41">
        <f t="shared" si="3"/>
        <v>563.59893333333332</v>
      </c>
      <c r="X16" s="41">
        <f t="shared" si="4"/>
        <v>759.85213333333331</v>
      </c>
      <c r="Y16" s="139" t="s">
        <v>130</v>
      </c>
      <c r="Z16" s="43"/>
    </row>
    <row r="17" spans="1:26" x14ac:dyDescent="0.25">
      <c r="A17" s="38" t="s">
        <v>2</v>
      </c>
      <c r="B17" s="137" t="s">
        <v>242</v>
      </c>
      <c r="C17" s="37">
        <f>Datos!C15</f>
        <v>0</v>
      </c>
      <c r="D17" s="37">
        <f>Datos!D15</f>
        <v>4.3707006369426753E-2</v>
      </c>
      <c r="E17" s="37">
        <f>Datos!E15</f>
        <v>0</v>
      </c>
      <c r="F17" s="37">
        <f>Datos!F15</f>
        <v>7.9045013883379617E-2</v>
      </c>
      <c r="G17" s="37">
        <f>Datos!G15</f>
        <v>0</v>
      </c>
      <c r="H17" s="37">
        <f>Datos!H15</f>
        <v>0.13044307692307691</v>
      </c>
      <c r="I17" s="37">
        <f>Datos!I15</f>
        <v>0</v>
      </c>
      <c r="J17" s="37">
        <f>Datos!J15</f>
        <v>0.2005983526734926</v>
      </c>
      <c r="K17" s="37">
        <f>Datos!K15</f>
        <v>0</v>
      </c>
      <c r="L17" s="37">
        <f>Datos!L15</f>
        <v>0.28954389370306183</v>
      </c>
      <c r="M17" s="144">
        <v>2500</v>
      </c>
      <c r="N17" s="144">
        <v>1</v>
      </c>
      <c r="O17" s="41">
        <f t="shared" si="12"/>
        <v>109.26751592356688</v>
      </c>
      <c r="P17" s="41">
        <f t="shared" si="13"/>
        <v>197.61253470844903</v>
      </c>
      <c r="Q17" s="41">
        <f t="shared" si="14"/>
        <v>326.10769230769228</v>
      </c>
      <c r="R17" s="41">
        <f t="shared" si="15"/>
        <v>501.49588168373151</v>
      </c>
      <c r="S17" s="41">
        <f t="shared" si="16"/>
        <v>723.85973425765462</v>
      </c>
      <c r="T17" s="41">
        <f t="shared" si="0"/>
        <v>109.26751592356688</v>
      </c>
      <c r="U17" s="41">
        <f t="shared" si="1"/>
        <v>197.61253470844903</v>
      </c>
      <c r="V17" s="41">
        <f t="shared" si="2"/>
        <v>326.10769230769228</v>
      </c>
      <c r="W17" s="41">
        <f t="shared" si="3"/>
        <v>501.49588168373151</v>
      </c>
      <c r="X17" s="41">
        <f t="shared" si="4"/>
        <v>723.85973425765462</v>
      </c>
      <c r="Y17" s="28" t="s">
        <v>81</v>
      </c>
      <c r="Z17" s="43"/>
    </row>
    <row r="18" spans="1:26" x14ac:dyDescent="0.25">
      <c r="A18" s="83" t="s">
        <v>2</v>
      </c>
      <c r="B18" s="85" t="s">
        <v>214</v>
      </c>
      <c r="C18" s="37">
        <f>Datos!C16</f>
        <v>3.0940271672411278E-2</v>
      </c>
      <c r="D18" s="37">
        <f>Datos!D16</f>
        <v>6.2278228970051946E-2</v>
      </c>
      <c r="E18" s="37">
        <f>Datos!E16</f>
        <v>3.8675339590514099E-2</v>
      </c>
      <c r="F18" s="37">
        <f>Datos!F16</f>
        <v>7.784778621256494E-2</v>
      </c>
      <c r="G18" s="37">
        <f>Datos!G16</f>
        <v>4.6410407508616913E-2</v>
      </c>
      <c r="H18" s="37">
        <f>Datos!H16</f>
        <v>9.3417343455077906E-2</v>
      </c>
      <c r="I18" s="37">
        <f>Datos!I16</f>
        <v>5.4145475426719734E-2</v>
      </c>
      <c r="J18" s="37">
        <f>Datos!J16</f>
        <v>0.1089869006975909</v>
      </c>
      <c r="K18" s="37">
        <f>Datos!K16</f>
        <v>6.1880543344822556E-2</v>
      </c>
      <c r="L18" s="37">
        <f>Datos!L16</f>
        <v>0.12455645794010389</v>
      </c>
      <c r="M18" s="144">
        <v>2500</v>
      </c>
      <c r="N18" s="144">
        <v>1</v>
      </c>
      <c r="O18" s="41">
        <f t="shared" si="12"/>
        <v>155.69557242512985</v>
      </c>
      <c r="P18" s="41">
        <f t="shared" si="13"/>
        <v>194.61946553141235</v>
      </c>
      <c r="Q18" s="41">
        <f t="shared" si="14"/>
        <v>233.54335863769475</v>
      </c>
      <c r="R18" s="41">
        <f t="shared" si="15"/>
        <v>272.46725174397727</v>
      </c>
      <c r="S18" s="41">
        <f t="shared" si="16"/>
        <v>311.39114485025971</v>
      </c>
      <c r="T18" s="41">
        <f t="shared" si="0"/>
        <v>155.69557242512985</v>
      </c>
      <c r="U18" s="41">
        <f t="shared" si="1"/>
        <v>194.61946553141235</v>
      </c>
      <c r="V18" s="41">
        <f t="shared" si="2"/>
        <v>233.54335863769475</v>
      </c>
      <c r="W18" s="41">
        <f t="shared" si="3"/>
        <v>272.46725174397727</v>
      </c>
      <c r="X18" s="41">
        <f t="shared" si="4"/>
        <v>311.39114485025971</v>
      </c>
      <c r="Y18" s="140" t="s">
        <v>213</v>
      </c>
      <c r="Z18" s="43"/>
    </row>
    <row r="19" spans="1:26" x14ac:dyDescent="0.25">
      <c r="A19" s="134" t="s">
        <v>2</v>
      </c>
      <c r="B19" s="135" t="s">
        <v>245</v>
      </c>
      <c r="C19" s="37">
        <f>Datos!C17</f>
        <v>0</v>
      </c>
      <c r="D19" s="37">
        <f>Datos!D17</f>
        <v>5.5384426799168551E-2</v>
      </c>
      <c r="E19" s="37">
        <f>Datos!E17</f>
        <v>0</v>
      </c>
      <c r="F19" s="37">
        <f>Datos!F17</f>
        <v>9.2649280417025512E-2</v>
      </c>
      <c r="G19" s="37">
        <f>Datos!G17</f>
        <v>0</v>
      </c>
      <c r="H19" s="37">
        <f>Datos!H17</f>
        <v>0.14159152880542167</v>
      </c>
      <c r="I19" s="37">
        <f>Datos!I17</f>
        <v>0</v>
      </c>
      <c r="J19" s="37">
        <f>Datos!J17</f>
        <v>0.20846959774569435</v>
      </c>
      <c r="K19" s="37">
        <f>Datos!K17</f>
        <v>0</v>
      </c>
      <c r="L19" s="37">
        <f>Datos!L17</f>
        <v>0.29232713581836017</v>
      </c>
      <c r="M19" s="144">
        <v>2500</v>
      </c>
      <c r="N19" s="144">
        <v>1</v>
      </c>
      <c r="O19" s="41">
        <f t="shared" si="12"/>
        <v>138.46106699792136</v>
      </c>
      <c r="P19" s="41">
        <f t="shared" si="13"/>
        <v>231.62320104256378</v>
      </c>
      <c r="Q19" s="41">
        <f t="shared" si="14"/>
        <v>353.97882201355418</v>
      </c>
      <c r="R19" s="41">
        <f t="shared" si="15"/>
        <v>521.17399436423591</v>
      </c>
      <c r="S19" s="41">
        <f t="shared" si="16"/>
        <v>730.81783954590048</v>
      </c>
      <c r="T19" s="41">
        <f t="shared" si="0"/>
        <v>138.46106699792136</v>
      </c>
      <c r="U19" s="41">
        <f t="shared" si="1"/>
        <v>231.62320104256378</v>
      </c>
      <c r="V19" s="41">
        <f t="shared" si="2"/>
        <v>353.97882201355418</v>
      </c>
      <c r="W19" s="41">
        <f t="shared" si="3"/>
        <v>521.17399436423591</v>
      </c>
      <c r="X19" s="41">
        <f t="shared" si="4"/>
        <v>730.81783954590048</v>
      </c>
      <c r="Y19" s="142" t="s">
        <v>85</v>
      </c>
      <c r="Z19" s="43"/>
    </row>
    <row r="20" spans="1:26" s="4" customFormat="1" x14ac:dyDescent="0.25">
      <c r="A20" s="186"/>
      <c r="B20" s="184"/>
      <c r="C20" s="37">
        <f>C18</f>
        <v>3.0940271672411278E-2</v>
      </c>
      <c r="D20" s="37">
        <f t="shared" ref="D20:L20" si="17">D18</f>
        <v>6.2278228970051946E-2</v>
      </c>
      <c r="E20" s="37">
        <f t="shared" si="17"/>
        <v>3.8675339590514099E-2</v>
      </c>
      <c r="F20" s="37">
        <f t="shared" si="17"/>
        <v>7.784778621256494E-2</v>
      </c>
      <c r="G20" s="37">
        <f t="shared" si="17"/>
        <v>4.6410407508616913E-2</v>
      </c>
      <c r="H20" s="37">
        <f t="shared" si="17"/>
        <v>9.3417343455077906E-2</v>
      </c>
      <c r="I20" s="37">
        <f t="shared" si="17"/>
        <v>5.4145475426719734E-2</v>
      </c>
      <c r="J20" s="37">
        <f t="shared" si="17"/>
        <v>0.1089869006975909</v>
      </c>
      <c r="K20" s="37">
        <f t="shared" si="17"/>
        <v>6.1880543344822556E-2</v>
      </c>
      <c r="L20" s="37">
        <f t="shared" si="17"/>
        <v>0.12455645794010389</v>
      </c>
      <c r="M20" s="166"/>
      <c r="N20" s="166"/>
      <c r="O20" s="167"/>
      <c r="P20" s="167"/>
      <c r="Q20" s="167"/>
      <c r="R20" s="167"/>
      <c r="S20" s="167"/>
      <c r="T20" s="167"/>
      <c r="U20" s="167"/>
      <c r="V20" s="167"/>
      <c r="W20" s="167"/>
      <c r="X20" s="167"/>
      <c r="Y20" s="185"/>
      <c r="Z20" s="169"/>
    </row>
    <row r="21" spans="1:26" x14ac:dyDescent="0.25">
      <c r="A21" s="170" t="s">
        <v>9</v>
      </c>
      <c r="B21" s="171"/>
      <c r="C21" s="37">
        <f>Datos!C18</f>
        <v>0</v>
      </c>
      <c r="D21" s="37">
        <f>Datos!D18</f>
        <v>0</v>
      </c>
      <c r="E21" s="37">
        <f>Datos!E18</f>
        <v>0</v>
      </c>
      <c r="F21" s="37">
        <f>Datos!F18</f>
        <v>0</v>
      </c>
      <c r="G21" s="37">
        <f>Datos!G18</f>
        <v>0</v>
      </c>
      <c r="H21" s="37">
        <f>Datos!H18</f>
        <v>0</v>
      </c>
      <c r="I21" s="37">
        <f>Datos!I18</f>
        <v>0</v>
      </c>
      <c r="J21" s="37">
        <f>Datos!J18</f>
        <v>0</v>
      </c>
      <c r="K21" s="37">
        <f>Datos!K18</f>
        <v>0</v>
      </c>
      <c r="L21" s="37">
        <f>Datos!L18</f>
        <v>0</v>
      </c>
      <c r="M21" s="144">
        <v>2500</v>
      </c>
      <c r="N21" s="144">
        <v>1</v>
      </c>
      <c r="O21" s="41">
        <f>D21*M21</f>
        <v>0</v>
      </c>
      <c r="P21" s="41">
        <f>F21*M21</f>
        <v>0</v>
      </c>
      <c r="Q21" s="41">
        <f>H21*M21</f>
        <v>0</v>
      </c>
      <c r="R21" s="41">
        <f>J21*M21</f>
        <v>0</v>
      </c>
      <c r="S21" s="41">
        <f>L21*M21</f>
        <v>0</v>
      </c>
      <c r="T21" s="41">
        <f t="shared" si="0"/>
        <v>0</v>
      </c>
      <c r="U21" s="41">
        <f t="shared" si="1"/>
        <v>0</v>
      </c>
      <c r="V21" s="41">
        <f t="shared" si="2"/>
        <v>0</v>
      </c>
      <c r="W21" s="41">
        <f t="shared" si="3"/>
        <v>0</v>
      </c>
      <c r="X21" s="41">
        <f t="shared" si="4"/>
        <v>0</v>
      </c>
      <c r="Y21" s="141"/>
      <c r="Z21" s="43"/>
    </row>
    <row r="22" spans="1:26" x14ac:dyDescent="0.25">
      <c r="A22" s="27" t="s">
        <v>10</v>
      </c>
      <c r="B22" s="96" t="s">
        <v>218</v>
      </c>
      <c r="C22" s="37">
        <f>Datos!C19</f>
        <v>8.5999999999999993E-2</v>
      </c>
      <c r="D22" s="37">
        <f>Datos!D19</f>
        <v>0.20894774999999999</v>
      </c>
      <c r="E22" s="37">
        <f>Datos!E19</f>
        <v>0.1075</v>
      </c>
      <c r="F22" s="37">
        <f>Datos!F19</f>
        <v>0.26118468749999996</v>
      </c>
      <c r="G22" s="37">
        <f>Datos!G19</f>
        <v>0.129</v>
      </c>
      <c r="H22" s="37">
        <f>Datos!H19</f>
        <v>0.31342162499999998</v>
      </c>
      <c r="I22" s="37">
        <f>Datos!I19</f>
        <v>0.19950000000000001</v>
      </c>
      <c r="J22" s="37">
        <f>Datos!J19</f>
        <v>0.4847101875</v>
      </c>
      <c r="K22" s="37">
        <f>Datos!K19</f>
        <v>0.22800000000000001</v>
      </c>
      <c r="L22" s="37">
        <f>Datos!L19</f>
        <v>0.55395450000000002</v>
      </c>
      <c r="M22" s="144">
        <v>2500</v>
      </c>
      <c r="N22" s="144">
        <v>1</v>
      </c>
      <c r="O22" s="41">
        <f>D22*M22</f>
        <v>522.36937499999999</v>
      </c>
      <c r="P22" s="41">
        <f>F22*M22</f>
        <v>652.96171874999993</v>
      </c>
      <c r="Q22" s="41">
        <f>H22*M22</f>
        <v>783.55406249999999</v>
      </c>
      <c r="R22" s="41">
        <f>J22*M22</f>
        <v>1211.7754687500001</v>
      </c>
      <c r="S22" s="41">
        <f>L22*M22</f>
        <v>1384.88625</v>
      </c>
      <c r="T22" s="41">
        <f t="shared" si="0"/>
        <v>522.36937499999999</v>
      </c>
      <c r="U22" s="41">
        <f t="shared" si="1"/>
        <v>652.96171874999993</v>
      </c>
      <c r="V22" s="41">
        <f t="shared" si="2"/>
        <v>783.55406249999999</v>
      </c>
      <c r="W22" s="41">
        <f t="shared" si="3"/>
        <v>1211.7754687500001</v>
      </c>
      <c r="X22" s="41">
        <f t="shared" si="4"/>
        <v>1384.88625</v>
      </c>
      <c r="Y22" s="139" t="s">
        <v>130</v>
      </c>
      <c r="Z22" s="43" t="s">
        <v>128</v>
      </c>
    </row>
    <row r="23" spans="1:26" x14ac:dyDescent="0.25">
      <c r="A23" s="83" t="s">
        <v>10</v>
      </c>
      <c r="B23" s="85" t="s">
        <v>214</v>
      </c>
      <c r="C23" s="37">
        <f>Datos!C20</f>
        <v>5.1085313145785793E-2</v>
      </c>
      <c r="D23" s="37">
        <f>Datos!D20</f>
        <v>0.1241181539518298</v>
      </c>
      <c r="E23" s="37">
        <f>Datos!E20</f>
        <v>6.3856641432232242E-2</v>
      </c>
      <c r="F23" s="37">
        <f>Datos!F20</f>
        <v>0.15514769243978724</v>
      </c>
      <c r="G23" s="37">
        <f>Datos!G20</f>
        <v>7.662796971867869E-2</v>
      </c>
      <c r="H23" s="37">
        <f>Datos!H20</f>
        <v>0.18617723092774471</v>
      </c>
      <c r="I23" s="37">
        <f>Datos!I20</f>
        <v>8.9399298005125138E-2</v>
      </c>
      <c r="J23" s="37">
        <f>Datos!J20</f>
        <v>0.21720676941570213</v>
      </c>
      <c r="K23" s="37">
        <f>Datos!K20</f>
        <v>0.10217062629157159</v>
      </c>
      <c r="L23" s="37">
        <f>Datos!L20</f>
        <v>0.24823630790365961</v>
      </c>
      <c r="M23" s="144">
        <v>2500</v>
      </c>
      <c r="N23" s="144">
        <v>1</v>
      </c>
      <c r="O23" s="41">
        <f>D23*M23</f>
        <v>310.2953848795745</v>
      </c>
      <c r="P23" s="41">
        <f>F23*M23</f>
        <v>387.8692310994681</v>
      </c>
      <c r="Q23" s="41">
        <f>H23*M23</f>
        <v>465.44307731936181</v>
      </c>
      <c r="R23" s="41">
        <f>J23*M23</f>
        <v>543.01692353925534</v>
      </c>
      <c r="S23" s="41">
        <f>L23*M23</f>
        <v>620.590769759149</v>
      </c>
      <c r="T23" s="41">
        <f t="shared" si="0"/>
        <v>310.2953848795745</v>
      </c>
      <c r="U23" s="41">
        <f t="shared" si="1"/>
        <v>387.8692310994681</v>
      </c>
      <c r="V23" s="41">
        <f t="shared" si="2"/>
        <v>465.44307731936181</v>
      </c>
      <c r="W23" s="41">
        <f t="shared" si="3"/>
        <v>543.01692353925534</v>
      </c>
      <c r="X23" s="41">
        <f t="shared" si="4"/>
        <v>620.590769759149</v>
      </c>
      <c r="Y23" s="140" t="s">
        <v>213</v>
      </c>
      <c r="Z23" s="43"/>
    </row>
    <row r="24" spans="1:26" s="4" customFormat="1" x14ac:dyDescent="0.25">
      <c r="A24" s="165"/>
      <c r="B24" s="95"/>
      <c r="C24" s="37">
        <f>C23</f>
        <v>5.1085313145785793E-2</v>
      </c>
      <c r="D24" s="37">
        <f t="shared" ref="D24:L24" si="18">D23</f>
        <v>0.1241181539518298</v>
      </c>
      <c r="E24" s="37">
        <f t="shared" si="18"/>
        <v>6.3856641432232242E-2</v>
      </c>
      <c r="F24" s="37">
        <f t="shared" si="18"/>
        <v>0.15514769243978724</v>
      </c>
      <c r="G24" s="37">
        <f t="shared" si="18"/>
        <v>7.662796971867869E-2</v>
      </c>
      <c r="H24" s="37">
        <f t="shared" si="18"/>
        <v>0.18617723092774471</v>
      </c>
      <c r="I24" s="37">
        <f t="shared" si="18"/>
        <v>8.9399298005125138E-2</v>
      </c>
      <c r="J24" s="37">
        <f t="shared" si="18"/>
        <v>0.21720676941570213</v>
      </c>
      <c r="K24" s="37">
        <f t="shared" si="18"/>
        <v>0.10217062629157159</v>
      </c>
      <c r="L24" s="37">
        <f t="shared" si="18"/>
        <v>0.24823630790365961</v>
      </c>
      <c r="M24" s="166"/>
      <c r="N24" s="166"/>
      <c r="O24" s="167"/>
      <c r="P24" s="167"/>
      <c r="Q24" s="167"/>
      <c r="R24" s="167"/>
      <c r="S24" s="167"/>
      <c r="T24" s="167"/>
      <c r="U24" s="167"/>
      <c r="V24" s="167"/>
      <c r="W24" s="167"/>
      <c r="X24" s="167"/>
      <c r="Y24" s="168"/>
      <c r="Z24" s="169"/>
    </row>
    <row r="25" spans="1:26" x14ac:dyDescent="0.25">
      <c r="A25" s="92" t="s">
        <v>172</v>
      </c>
      <c r="B25" s="85" t="s">
        <v>214</v>
      </c>
      <c r="C25" s="37">
        <f>Datos!C21</f>
        <v>1.4595690686994803E-2</v>
      </c>
      <c r="D25" s="37">
        <f>Datos!D21</f>
        <v>6.1960458449175387E-2</v>
      </c>
      <c r="E25" s="37">
        <f>Datos!E21</f>
        <v>1.8244613358743503E-2</v>
      </c>
      <c r="F25" s="37">
        <f>Datos!F21</f>
        <v>7.7450573061469213E-2</v>
      </c>
      <c r="G25" s="37">
        <f>Datos!G21</f>
        <v>2.1893536030492204E-2</v>
      </c>
      <c r="H25" s="37">
        <f>Datos!H21</f>
        <v>9.2940687673763067E-2</v>
      </c>
      <c r="I25" s="37">
        <f>Datos!I21</f>
        <v>2.5542458702240905E-2</v>
      </c>
      <c r="J25" s="37">
        <f>Datos!J21</f>
        <v>0.10843080228605692</v>
      </c>
      <c r="K25" s="37">
        <f>Datos!K21</f>
        <v>2.9191381373989606E-2</v>
      </c>
      <c r="L25" s="37">
        <f>Datos!L21</f>
        <v>0.12392091689835077</v>
      </c>
      <c r="M25" s="144">
        <v>2500</v>
      </c>
      <c r="N25" s="144">
        <v>1</v>
      </c>
      <c r="O25" s="41">
        <f t="shared" ref="O25:O37" si="19">D25*M25</f>
        <v>154.90114612293846</v>
      </c>
      <c r="P25" s="41">
        <f t="shared" ref="P25:P37" si="20">F25*M25</f>
        <v>193.62643265367302</v>
      </c>
      <c r="Q25" s="41">
        <f t="shared" ref="Q25:Q37" si="21">H25*M25</f>
        <v>232.35171918440767</v>
      </c>
      <c r="R25" s="41">
        <f t="shared" ref="R25:R37" si="22">J25*M25</f>
        <v>271.07700571514232</v>
      </c>
      <c r="S25" s="41">
        <f t="shared" ref="S25:S37" si="23">L25*M25</f>
        <v>309.80229224587691</v>
      </c>
      <c r="T25" s="41">
        <f t="shared" si="0"/>
        <v>154.90114612293846</v>
      </c>
      <c r="U25" s="41">
        <f t="shared" si="1"/>
        <v>193.62643265367302</v>
      </c>
      <c r="V25" s="41">
        <f t="shared" si="2"/>
        <v>232.35171918440767</v>
      </c>
      <c r="W25" s="41">
        <f t="shared" si="3"/>
        <v>271.07700571514232</v>
      </c>
      <c r="X25" s="41">
        <f t="shared" si="4"/>
        <v>309.80229224587691</v>
      </c>
      <c r="Y25" s="140" t="s">
        <v>213</v>
      </c>
      <c r="Z25" s="43"/>
    </row>
    <row r="26" spans="1:26" x14ac:dyDescent="0.25">
      <c r="A26" s="170" t="s">
        <v>11</v>
      </c>
      <c r="B26" s="171"/>
      <c r="C26" s="37">
        <f>Datos!C22</f>
        <v>0</v>
      </c>
      <c r="D26" s="37">
        <f>Datos!D22</f>
        <v>0</v>
      </c>
      <c r="E26" s="37">
        <f>Datos!E22</f>
        <v>0</v>
      </c>
      <c r="F26" s="37">
        <f>Datos!F22</f>
        <v>0</v>
      </c>
      <c r="G26" s="37">
        <f>Datos!G22</f>
        <v>0</v>
      </c>
      <c r="H26" s="37">
        <f>Datos!H22</f>
        <v>0</v>
      </c>
      <c r="I26" s="37">
        <f>Datos!I22</f>
        <v>0</v>
      </c>
      <c r="J26" s="37">
        <f>Datos!J22</f>
        <v>0</v>
      </c>
      <c r="K26" s="37">
        <f>Datos!K22</f>
        <v>0</v>
      </c>
      <c r="L26" s="37">
        <f>Datos!L22</f>
        <v>0</v>
      </c>
      <c r="M26" s="144">
        <v>2500</v>
      </c>
      <c r="N26" s="144">
        <v>1</v>
      </c>
      <c r="O26" s="41">
        <f t="shared" si="19"/>
        <v>0</v>
      </c>
      <c r="P26" s="41">
        <f t="shared" si="20"/>
        <v>0</v>
      </c>
      <c r="Q26" s="41">
        <f t="shared" si="21"/>
        <v>0</v>
      </c>
      <c r="R26" s="41">
        <f t="shared" si="22"/>
        <v>0</v>
      </c>
      <c r="S26" s="41">
        <f t="shared" si="23"/>
        <v>0</v>
      </c>
      <c r="T26" s="41">
        <f t="shared" si="0"/>
        <v>0</v>
      </c>
      <c r="U26" s="41">
        <f t="shared" si="1"/>
        <v>0</v>
      </c>
      <c r="V26" s="41">
        <f t="shared" si="2"/>
        <v>0</v>
      </c>
      <c r="W26" s="41">
        <f t="shared" si="3"/>
        <v>0</v>
      </c>
      <c r="X26" s="41">
        <f t="shared" si="4"/>
        <v>0</v>
      </c>
      <c r="Y26" s="141"/>
      <c r="Z26" s="43"/>
    </row>
    <row r="27" spans="1:26" x14ac:dyDescent="0.25">
      <c r="A27" s="170" t="s">
        <v>12</v>
      </c>
      <c r="B27" s="171"/>
      <c r="C27" s="37">
        <f>Datos!C23</f>
        <v>0</v>
      </c>
      <c r="D27" s="37">
        <f>Datos!D23</f>
        <v>0</v>
      </c>
      <c r="E27" s="37">
        <f>Datos!E23</f>
        <v>0</v>
      </c>
      <c r="F27" s="37">
        <f>Datos!F23</f>
        <v>0</v>
      </c>
      <c r="G27" s="37">
        <f>Datos!G23</f>
        <v>0</v>
      </c>
      <c r="H27" s="37">
        <f>Datos!H23</f>
        <v>0</v>
      </c>
      <c r="I27" s="37">
        <f>Datos!I23</f>
        <v>0</v>
      </c>
      <c r="J27" s="37">
        <f>Datos!J23</f>
        <v>0</v>
      </c>
      <c r="K27" s="37">
        <f>Datos!K23</f>
        <v>0</v>
      </c>
      <c r="L27" s="37">
        <f>Datos!L23</f>
        <v>0</v>
      </c>
      <c r="M27" s="144">
        <v>2500</v>
      </c>
      <c r="N27" s="144">
        <v>1</v>
      </c>
      <c r="O27" s="41">
        <f t="shared" si="19"/>
        <v>0</v>
      </c>
      <c r="P27" s="41">
        <f t="shared" si="20"/>
        <v>0</v>
      </c>
      <c r="Q27" s="41">
        <f t="shared" si="21"/>
        <v>0</v>
      </c>
      <c r="R27" s="41">
        <f t="shared" si="22"/>
        <v>0</v>
      </c>
      <c r="S27" s="41">
        <f t="shared" si="23"/>
        <v>0</v>
      </c>
      <c r="T27" s="41">
        <f t="shared" si="0"/>
        <v>0</v>
      </c>
      <c r="U27" s="41">
        <f t="shared" si="1"/>
        <v>0</v>
      </c>
      <c r="V27" s="41">
        <f t="shared" si="2"/>
        <v>0</v>
      </c>
      <c r="W27" s="41">
        <f t="shared" si="3"/>
        <v>0</v>
      </c>
      <c r="X27" s="41">
        <f t="shared" si="4"/>
        <v>0</v>
      </c>
      <c r="Y27" s="141"/>
      <c r="Z27" s="43"/>
    </row>
    <row r="28" spans="1:26" x14ac:dyDescent="0.25">
      <c r="A28" s="92" t="s">
        <v>13</v>
      </c>
      <c r="B28" s="85" t="s">
        <v>214</v>
      </c>
      <c r="C28" s="37">
        <f>Datos!C24</f>
        <v>7.0330285525162482E-3</v>
      </c>
      <c r="D28" s="37">
        <f>Datos!D24</f>
        <v>7.2902029632532592E-3</v>
      </c>
      <c r="E28" s="37">
        <f>Datos!E24</f>
        <v>8.7912856906453094E-3</v>
      </c>
      <c r="F28" s="37">
        <f>Datos!F24</f>
        <v>9.1127537040665719E-3</v>
      </c>
      <c r="G28" s="37">
        <f>Datos!G24</f>
        <v>1.0549542828774372E-2</v>
      </c>
      <c r="H28" s="37">
        <f>Datos!H24</f>
        <v>1.0935304444879886E-2</v>
      </c>
      <c r="I28" s="37">
        <f>Datos!I24</f>
        <v>1.2307799966903434E-2</v>
      </c>
      <c r="J28" s="37">
        <f>Datos!J24</f>
        <v>1.2757855185693201E-2</v>
      </c>
      <c r="K28" s="37">
        <f>Datos!K24</f>
        <v>1.4066057105032496E-2</v>
      </c>
      <c r="L28" s="37">
        <f>Datos!L24</f>
        <v>1.4580405926506518E-2</v>
      </c>
      <c r="M28" s="144">
        <v>2500</v>
      </c>
      <c r="N28" s="144">
        <v>1</v>
      </c>
      <c r="O28" s="41">
        <f t="shared" si="19"/>
        <v>18.225507408133147</v>
      </c>
      <c r="P28" s="41">
        <f t="shared" si="20"/>
        <v>22.781884260166429</v>
      </c>
      <c r="Q28" s="41">
        <f t="shared" si="21"/>
        <v>27.338261112199717</v>
      </c>
      <c r="R28" s="41">
        <f t="shared" si="22"/>
        <v>31.894637964233002</v>
      </c>
      <c r="S28" s="41">
        <f t="shared" si="23"/>
        <v>36.451014816266294</v>
      </c>
      <c r="T28" s="41">
        <f t="shared" si="0"/>
        <v>18.225507408133147</v>
      </c>
      <c r="U28" s="41">
        <f t="shared" si="1"/>
        <v>22.781884260166429</v>
      </c>
      <c r="V28" s="41">
        <f t="shared" si="2"/>
        <v>27.338261112199717</v>
      </c>
      <c r="W28" s="41">
        <f t="shared" si="3"/>
        <v>31.894637964233002</v>
      </c>
      <c r="X28" s="41">
        <f t="shared" si="4"/>
        <v>36.451014816266294</v>
      </c>
      <c r="Y28" s="140" t="s">
        <v>213</v>
      </c>
      <c r="Z28" s="43"/>
    </row>
    <row r="29" spans="1:26" x14ac:dyDescent="0.25">
      <c r="A29" s="170" t="s">
        <v>14</v>
      </c>
      <c r="B29" s="171"/>
      <c r="C29" s="37">
        <f>Datos!C25</f>
        <v>0</v>
      </c>
      <c r="D29" s="37">
        <f>Datos!D25</f>
        <v>0</v>
      </c>
      <c r="E29" s="37">
        <f>Datos!E25</f>
        <v>0</v>
      </c>
      <c r="F29" s="37">
        <f>Datos!F25</f>
        <v>0</v>
      </c>
      <c r="G29" s="37">
        <f>Datos!G25</f>
        <v>0</v>
      </c>
      <c r="H29" s="37">
        <f>Datos!H25</f>
        <v>0</v>
      </c>
      <c r="I29" s="37">
        <f>Datos!I25</f>
        <v>0</v>
      </c>
      <c r="J29" s="37">
        <f>Datos!J25</f>
        <v>0</v>
      </c>
      <c r="K29" s="37">
        <f>Datos!K25</f>
        <v>0</v>
      </c>
      <c r="L29" s="37">
        <f>Datos!L25</f>
        <v>0</v>
      </c>
      <c r="M29" s="144">
        <v>2500</v>
      </c>
      <c r="N29" s="144">
        <v>1</v>
      </c>
      <c r="O29" s="41">
        <f t="shared" si="19"/>
        <v>0</v>
      </c>
      <c r="P29" s="41">
        <f t="shared" si="20"/>
        <v>0</v>
      </c>
      <c r="Q29" s="41">
        <f t="shared" si="21"/>
        <v>0</v>
      </c>
      <c r="R29" s="41">
        <f t="shared" si="22"/>
        <v>0</v>
      </c>
      <c r="S29" s="41">
        <f t="shared" si="23"/>
        <v>0</v>
      </c>
      <c r="T29" s="41">
        <f t="shared" si="0"/>
        <v>0</v>
      </c>
      <c r="U29" s="41">
        <f t="shared" si="1"/>
        <v>0</v>
      </c>
      <c r="V29" s="41">
        <f t="shared" si="2"/>
        <v>0</v>
      </c>
      <c r="W29" s="41">
        <f t="shared" si="3"/>
        <v>0</v>
      </c>
      <c r="X29" s="41">
        <f t="shared" si="4"/>
        <v>0</v>
      </c>
      <c r="Y29" s="141"/>
      <c r="Z29" s="43"/>
    </row>
    <row r="30" spans="1:26" x14ac:dyDescent="0.25">
      <c r="A30" s="92" t="s">
        <v>15</v>
      </c>
      <c r="B30" s="85" t="s">
        <v>214</v>
      </c>
      <c r="C30" s="37">
        <f>Datos!C26</f>
        <v>3.5519916783877857E-2</v>
      </c>
      <c r="D30" s="37">
        <f>Datos!D26</f>
        <v>7.8352200436330038E-2</v>
      </c>
      <c r="E30" s="37">
        <f>Datos!E26</f>
        <v>4.4399895979847323E-2</v>
      </c>
      <c r="F30" s="37">
        <f>Datos!F26</f>
        <v>9.7940250545412541E-2</v>
      </c>
      <c r="G30" s="37">
        <f>Datos!G26</f>
        <v>5.3279875175816782E-2</v>
      </c>
      <c r="H30" s="37">
        <f>Datos!H26</f>
        <v>0.11752830065449504</v>
      </c>
      <c r="I30" s="37">
        <f>Datos!I26</f>
        <v>6.2159854371786248E-2</v>
      </c>
      <c r="J30" s="37">
        <f>Datos!J26</f>
        <v>0.13711635076357756</v>
      </c>
      <c r="K30" s="37">
        <f>Datos!K26</f>
        <v>7.1039833567755714E-2</v>
      </c>
      <c r="L30" s="37">
        <f>Datos!L26</f>
        <v>0.15670440087266008</v>
      </c>
      <c r="M30" s="144">
        <v>2500</v>
      </c>
      <c r="N30" s="144">
        <v>1</v>
      </c>
      <c r="O30" s="41">
        <f t="shared" si="19"/>
        <v>195.88050109082511</v>
      </c>
      <c r="P30" s="41">
        <f t="shared" si="20"/>
        <v>244.85062636353135</v>
      </c>
      <c r="Q30" s="41">
        <f t="shared" si="21"/>
        <v>293.82075163623762</v>
      </c>
      <c r="R30" s="41">
        <f t="shared" si="22"/>
        <v>342.79087690894391</v>
      </c>
      <c r="S30" s="41">
        <f t="shared" si="23"/>
        <v>391.76100218165021</v>
      </c>
      <c r="T30" s="41">
        <f t="shared" si="0"/>
        <v>195.88050109082511</v>
      </c>
      <c r="U30" s="41">
        <f t="shared" si="1"/>
        <v>244.85062636353135</v>
      </c>
      <c r="V30" s="41">
        <f t="shared" si="2"/>
        <v>293.82075163623762</v>
      </c>
      <c r="W30" s="41">
        <f t="shared" si="3"/>
        <v>342.79087690894391</v>
      </c>
      <c r="X30" s="41">
        <f t="shared" si="4"/>
        <v>391.76100218165021</v>
      </c>
      <c r="Y30" s="140" t="s">
        <v>213</v>
      </c>
      <c r="Z30" s="43"/>
    </row>
    <row r="31" spans="1:26" x14ac:dyDescent="0.25">
      <c r="A31" s="92" t="s">
        <v>17</v>
      </c>
      <c r="B31" s="85" t="s">
        <v>214</v>
      </c>
      <c r="C31" s="187">
        <f>Datos!C27</f>
        <v>0.13780596631208833</v>
      </c>
      <c r="D31" s="187">
        <f>Datos!D27</f>
        <v>0.26739869703197616</v>
      </c>
      <c r="E31" s="187">
        <f>Datos!E27</f>
        <v>0.23625044309191207</v>
      </c>
      <c r="F31" s="187">
        <f>Datos!F27</f>
        <v>0.45842035977554618</v>
      </c>
      <c r="G31" s="187">
        <f>Datos!G27</f>
        <v>0.31672869557299338</v>
      </c>
      <c r="H31" s="187">
        <f>Datos!H27</f>
        <v>0.61458036088983636</v>
      </c>
      <c r="I31" s="187">
        <f>Datos!I27</f>
        <v>0.46409651535326579</v>
      </c>
      <c r="J31" s="187">
        <f>Datos!J27</f>
        <v>0.900532878391477</v>
      </c>
      <c r="K31" s="187">
        <f>Datos!K27</f>
        <v>0.54009296361673664</v>
      </c>
      <c r="L31" s="187">
        <f>Datos!L27</f>
        <v>1.0479963866019157</v>
      </c>
      <c r="M31" s="166">
        <v>2500</v>
      </c>
      <c r="N31" s="144">
        <v>1</v>
      </c>
      <c r="O31" s="41">
        <f t="shared" si="19"/>
        <v>668.49674257994036</v>
      </c>
      <c r="P31" s="41">
        <f t="shared" si="20"/>
        <v>1146.0508994388654</v>
      </c>
      <c r="Q31" s="41">
        <f t="shared" si="21"/>
        <v>1536.4509022245909</v>
      </c>
      <c r="R31" s="41">
        <f t="shared" si="22"/>
        <v>2251.3321959786927</v>
      </c>
      <c r="S31" s="41">
        <f t="shared" si="23"/>
        <v>2619.9909665047894</v>
      </c>
      <c r="T31" s="41">
        <f t="shared" si="0"/>
        <v>668.49674257994036</v>
      </c>
      <c r="U31" s="41">
        <f t="shared" si="1"/>
        <v>1146.0508994388654</v>
      </c>
      <c r="V31" s="41">
        <f t="shared" si="2"/>
        <v>1536.4509022245909</v>
      </c>
      <c r="W31" s="41">
        <f t="shared" si="3"/>
        <v>2251.3321959786927</v>
      </c>
      <c r="X31" s="41">
        <f t="shared" si="4"/>
        <v>2619.9909665047894</v>
      </c>
      <c r="Y31" s="140" t="s">
        <v>213</v>
      </c>
      <c r="Z31" s="43"/>
    </row>
    <row r="32" spans="1:26" x14ac:dyDescent="0.25">
      <c r="A32" s="170" t="s">
        <v>18</v>
      </c>
      <c r="B32" s="171"/>
      <c r="C32" s="37">
        <f>Datos!C28</f>
        <v>0</v>
      </c>
      <c r="D32" s="37">
        <f>Datos!D28</f>
        <v>0</v>
      </c>
      <c r="E32" s="37">
        <f>Datos!E28</f>
        <v>0</v>
      </c>
      <c r="F32" s="37">
        <f>Datos!F28</f>
        <v>0</v>
      </c>
      <c r="G32" s="37">
        <f>Datos!G28</f>
        <v>0</v>
      </c>
      <c r="H32" s="37">
        <f>Datos!H28</f>
        <v>0</v>
      </c>
      <c r="I32" s="37">
        <f>Datos!I28</f>
        <v>0</v>
      </c>
      <c r="J32" s="37">
        <f>Datos!J28</f>
        <v>0</v>
      </c>
      <c r="K32" s="37">
        <f>Datos!K28</f>
        <v>0</v>
      </c>
      <c r="L32" s="37">
        <f>Datos!L28</f>
        <v>0</v>
      </c>
      <c r="M32" s="144">
        <v>2500</v>
      </c>
      <c r="N32" s="144">
        <v>1</v>
      </c>
      <c r="O32" s="41">
        <f t="shared" si="19"/>
        <v>0</v>
      </c>
      <c r="P32" s="41">
        <f t="shared" si="20"/>
        <v>0</v>
      </c>
      <c r="Q32" s="41">
        <f t="shared" si="21"/>
        <v>0</v>
      </c>
      <c r="R32" s="41">
        <f t="shared" si="22"/>
        <v>0</v>
      </c>
      <c r="S32" s="41">
        <f t="shared" si="23"/>
        <v>0</v>
      </c>
      <c r="T32" s="41">
        <f t="shared" si="0"/>
        <v>0</v>
      </c>
      <c r="U32" s="41">
        <f t="shared" si="1"/>
        <v>0</v>
      </c>
      <c r="V32" s="41">
        <f t="shared" si="2"/>
        <v>0</v>
      </c>
      <c r="W32" s="41">
        <f t="shared" si="3"/>
        <v>0</v>
      </c>
      <c r="X32" s="41">
        <f t="shared" si="4"/>
        <v>0</v>
      </c>
      <c r="Y32" s="141"/>
      <c r="Z32" s="43"/>
    </row>
    <row r="33" spans="1:26" x14ac:dyDescent="0.25">
      <c r="A33" s="170" t="s">
        <v>19</v>
      </c>
      <c r="B33" s="171"/>
      <c r="C33" s="37">
        <f>Datos!C29</f>
        <v>0</v>
      </c>
      <c r="D33" s="37">
        <f>Datos!D29</f>
        <v>0</v>
      </c>
      <c r="E33" s="37">
        <f>Datos!E29</f>
        <v>0</v>
      </c>
      <c r="F33" s="37">
        <f>Datos!F29</f>
        <v>0</v>
      </c>
      <c r="G33" s="37">
        <f>Datos!G29</f>
        <v>0</v>
      </c>
      <c r="H33" s="37">
        <f>Datos!H29</f>
        <v>0</v>
      </c>
      <c r="I33" s="37">
        <f>Datos!I29</f>
        <v>0</v>
      </c>
      <c r="J33" s="37">
        <f>Datos!J29</f>
        <v>0</v>
      </c>
      <c r="K33" s="37">
        <f>Datos!K29</f>
        <v>0</v>
      </c>
      <c r="L33" s="37">
        <f>Datos!L29</f>
        <v>0</v>
      </c>
      <c r="M33" s="144">
        <v>2500</v>
      </c>
      <c r="N33" s="144">
        <v>1</v>
      </c>
      <c r="O33" s="41">
        <f t="shared" si="19"/>
        <v>0</v>
      </c>
      <c r="P33" s="41">
        <f t="shared" si="20"/>
        <v>0</v>
      </c>
      <c r="Q33" s="41">
        <f t="shared" si="21"/>
        <v>0</v>
      </c>
      <c r="R33" s="41">
        <f t="shared" si="22"/>
        <v>0</v>
      </c>
      <c r="S33" s="41">
        <f t="shared" si="23"/>
        <v>0</v>
      </c>
      <c r="T33" s="41">
        <f t="shared" si="0"/>
        <v>0</v>
      </c>
      <c r="U33" s="41">
        <f t="shared" si="1"/>
        <v>0</v>
      </c>
      <c r="V33" s="41">
        <f t="shared" si="2"/>
        <v>0</v>
      </c>
      <c r="W33" s="41">
        <f t="shared" si="3"/>
        <v>0</v>
      </c>
      <c r="X33" s="41">
        <f t="shared" si="4"/>
        <v>0</v>
      </c>
      <c r="Y33" s="141"/>
      <c r="Z33" s="43"/>
    </row>
    <row r="34" spans="1:26" x14ac:dyDescent="0.25">
      <c r="A34" s="170" t="s">
        <v>20</v>
      </c>
      <c r="B34" s="171"/>
      <c r="C34" s="37">
        <f>Datos!C30</f>
        <v>0</v>
      </c>
      <c r="D34" s="37">
        <f>Datos!D30</f>
        <v>0</v>
      </c>
      <c r="E34" s="37">
        <f>Datos!E30</f>
        <v>0</v>
      </c>
      <c r="F34" s="37">
        <f>Datos!F30</f>
        <v>0</v>
      </c>
      <c r="G34" s="37">
        <f>Datos!G30</f>
        <v>0</v>
      </c>
      <c r="H34" s="37">
        <f>Datos!H30</f>
        <v>0</v>
      </c>
      <c r="I34" s="37">
        <f>Datos!I30</f>
        <v>0</v>
      </c>
      <c r="J34" s="37">
        <f>Datos!J30</f>
        <v>0</v>
      </c>
      <c r="K34" s="37">
        <f>Datos!K30</f>
        <v>0</v>
      </c>
      <c r="L34" s="37">
        <f>Datos!L30</f>
        <v>0</v>
      </c>
      <c r="M34" s="144">
        <v>2500</v>
      </c>
      <c r="N34" s="144">
        <v>1</v>
      </c>
      <c r="O34" s="41">
        <f t="shared" si="19"/>
        <v>0</v>
      </c>
      <c r="P34" s="41">
        <f t="shared" si="20"/>
        <v>0</v>
      </c>
      <c r="Q34" s="41">
        <f t="shared" si="21"/>
        <v>0</v>
      </c>
      <c r="R34" s="41">
        <f t="shared" si="22"/>
        <v>0</v>
      </c>
      <c r="S34" s="41">
        <f t="shared" si="23"/>
        <v>0</v>
      </c>
      <c r="T34" s="41">
        <f t="shared" si="0"/>
        <v>0</v>
      </c>
      <c r="U34" s="41">
        <f t="shared" si="1"/>
        <v>0</v>
      </c>
      <c r="V34" s="41">
        <f t="shared" si="2"/>
        <v>0</v>
      </c>
      <c r="W34" s="41">
        <f t="shared" si="3"/>
        <v>0</v>
      </c>
      <c r="X34" s="41">
        <f t="shared" si="4"/>
        <v>0</v>
      </c>
      <c r="Y34" s="141"/>
      <c r="Z34" s="43"/>
    </row>
    <row r="35" spans="1:26" x14ac:dyDescent="0.25">
      <c r="A35" s="92" t="s">
        <v>21</v>
      </c>
      <c r="B35" s="85" t="s">
        <v>214</v>
      </c>
      <c r="C35" s="37">
        <f>Datos!C31</f>
        <v>2.1782229937322616E-2</v>
      </c>
      <c r="D35" s="37">
        <f>Datos!D31</f>
        <v>4.2905184381875593E-2</v>
      </c>
      <c r="E35" s="37">
        <f>Datos!E31</f>
        <v>5.6877202471395945E-2</v>
      </c>
      <c r="F35" s="37">
        <f>Datos!F31</f>
        <v>0.11203292161465764</v>
      </c>
      <c r="G35" s="37">
        <f>Datos!G31</f>
        <v>0.10415920175927618</v>
      </c>
      <c r="H35" s="37">
        <f>Datos!H31</f>
        <v>0.20516585167863827</v>
      </c>
      <c r="I35" s="37">
        <f>Datos!I31</f>
        <v>0.17662290093811014</v>
      </c>
      <c r="J35" s="37">
        <f>Datos!J31</f>
        <v>0.34790001540782683</v>
      </c>
      <c r="K35" s="37">
        <f>Datos!K31</f>
        <v>0.20185474392926872</v>
      </c>
      <c r="L35" s="37">
        <f>Datos!L31</f>
        <v>0.39760001760894487</v>
      </c>
      <c r="M35" s="144">
        <v>2500</v>
      </c>
      <c r="N35" s="144">
        <v>1</v>
      </c>
      <c r="O35" s="41">
        <f t="shared" si="19"/>
        <v>107.26296095468898</v>
      </c>
      <c r="P35" s="41">
        <f t="shared" si="20"/>
        <v>280.08230403664408</v>
      </c>
      <c r="Q35" s="41">
        <f t="shared" si="21"/>
        <v>512.91462919659568</v>
      </c>
      <c r="R35" s="41">
        <f t="shared" si="22"/>
        <v>869.75003851956706</v>
      </c>
      <c r="S35" s="41">
        <f t="shared" si="23"/>
        <v>994.0000440223622</v>
      </c>
      <c r="T35" s="41">
        <f t="shared" si="0"/>
        <v>107.26296095468898</v>
      </c>
      <c r="U35" s="41">
        <f t="shared" si="1"/>
        <v>280.08230403664408</v>
      </c>
      <c r="V35" s="41">
        <f t="shared" si="2"/>
        <v>512.91462919659568</v>
      </c>
      <c r="W35" s="41">
        <f t="shared" si="3"/>
        <v>869.75003851956706</v>
      </c>
      <c r="X35" s="41">
        <f t="shared" si="4"/>
        <v>994.0000440223622</v>
      </c>
      <c r="Y35" s="140" t="s">
        <v>213</v>
      </c>
      <c r="Z35" s="43"/>
    </row>
    <row r="36" spans="1:26" x14ac:dyDescent="0.25">
      <c r="A36" s="39" t="s">
        <v>22</v>
      </c>
      <c r="B36" s="96" t="s">
        <v>218</v>
      </c>
      <c r="C36" s="37">
        <f>Datos!C32</f>
        <v>0.125</v>
      </c>
      <c r="D36" s="37">
        <f>Datos!D32</f>
        <v>0.32874187500000002</v>
      </c>
      <c r="E36" s="37">
        <f>Datos!E32</f>
        <v>0.23599999999999999</v>
      </c>
      <c r="F36" s="37">
        <f>Datos!F32</f>
        <v>0.62066466000000009</v>
      </c>
      <c r="G36" s="37">
        <f>Datos!G32</f>
        <v>0.379</v>
      </c>
      <c r="H36" s="37">
        <f>Datos!H32</f>
        <v>0.99674536500000011</v>
      </c>
      <c r="I36" s="37">
        <f>Datos!I32</f>
        <v>0.55600000000000005</v>
      </c>
      <c r="J36" s="37">
        <f>Datos!J32</f>
        <v>1.4622438600000003</v>
      </c>
      <c r="K36" s="37">
        <f>Datos!K32</f>
        <v>0.79100000000000004</v>
      </c>
      <c r="L36" s="37">
        <f>Datos!L32</f>
        <v>2.0802785849999998</v>
      </c>
      <c r="M36" s="144">
        <v>2500</v>
      </c>
      <c r="N36" s="144">
        <v>1</v>
      </c>
      <c r="O36" s="41">
        <f t="shared" si="19"/>
        <v>821.85468750000007</v>
      </c>
      <c r="P36" s="41">
        <f t="shared" si="20"/>
        <v>1551.6616500000002</v>
      </c>
      <c r="Q36" s="41">
        <f t="shared" si="21"/>
        <v>2491.8634125000003</v>
      </c>
      <c r="R36" s="41">
        <f t="shared" si="22"/>
        <v>3655.6096500000008</v>
      </c>
      <c r="S36" s="41">
        <f t="shared" si="23"/>
        <v>5200.6964625000001</v>
      </c>
      <c r="T36" s="41">
        <f t="shared" si="0"/>
        <v>821.85468750000007</v>
      </c>
      <c r="U36" s="41">
        <f t="shared" si="1"/>
        <v>1551.6616500000002</v>
      </c>
      <c r="V36" s="41">
        <f t="shared" si="2"/>
        <v>2491.8634125000003</v>
      </c>
      <c r="W36" s="41">
        <f t="shared" si="3"/>
        <v>3655.6096500000008</v>
      </c>
      <c r="X36" s="41">
        <f t="shared" si="4"/>
        <v>5200.6964625000001</v>
      </c>
      <c r="Y36" s="139" t="s">
        <v>130</v>
      </c>
      <c r="Z36" s="43" t="s">
        <v>147</v>
      </c>
    </row>
    <row r="37" spans="1:26" x14ac:dyDescent="0.25">
      <c r="A37" s="93" t="s">
        <v>22</v>
      </c>
      <c r="B37" s="85" t="s">
        <v>214</v>
      </c>
      <c r="C37" s="37">
        <f>Datos!C33</f>
        <v>0.15392749325002175</v>
      </c>
      <c r="D37" s="37">
        <f>Datos!D33</f>
        <v>0.40481930196049593</v>
      </c>
      <c r="E37" s="37">
        <f>Datos!E33</f>
        <v>0.37893651576316562</v>
      </c>
      <c r="F37" s="37">
        <f>Datos!F33</f>
        <v>0.99657840558360089</v>
      </c>
      <c r="G37" s="37">
        <f>Datos!G33</f>
        <v>0.59538658646021636</v>
      </c>
      <c r="H37" s="37">
        <f>Datos!H33</f>
        <v>1.5658280222622489</v>
      </c>
      <c r="I37" s="37">
        <f>Datos!I33</f>
        <v>0.84971838900000141</v>
      </c>
      <c r="J37" s="37">
        <f>Datos!J33</f>
        <v>2.2347041313747185</v>
      </c>
      <c r="K37" s="37">
        <f>Datos!K33</f>
        <v>1.3428742516056231</v>
      </c>
      <c r="L37" s="37">
        <f>Datos!L33</f>
        <v>3.5316719948964348</v>
      </c>
      <c r="M37" s="144">
        <v>2500</v>
      </c>
      <c r="N37" s="144">
        <v>1</v>
      </c>
      <c r="O37" s="41">
        <f t="shared" si="19"/>
        <v>1012.0482549012398</v>
      </c>
      <c r="P37" s="41">
        <f t="shared" si="20"/>
        <v>2491.4460139590024</v>
      </c>
      <c r="Q37" s="41">
        <f t="shared" si="21"/>
        <v>3914.5700556556221</v>
      </c>
      <c r="R37" s="41">
        <f t="shared" si="22"/>
        <v>5586.760328436796</v>
      </c>
      <c r="S37" s="41">
        <f t="shared" si="23"/>
        <v>8829.1799872410866</v>
      </c>
      <c r="T37" s="41">
        <f t="shared" si="0"/>
        <v>1012.0482549012398</v>
      </c>
      <c r="U37" s="41">
        <f t="shared" si="1"/>
        <v>2491.4460139590024</v>
      </c>
      <c r="V37" s="41">
        <f t="shared" si="2"/>
        <v>3914.5700556556221</v>
      </c>
      <c r="W37" s="41">
        <f t="shared" si="3"/>
        <v>5586.760328436796</v>
      </c>
      <c r="X37" s="41">
        <f t="shared" si="4"/>
        <v>8829.1799872410866</v>
      </c>
      <c r="Y37" s="140" t="s">
        <v>213</v>
      </c>
      <c r="Z37" s="43"/>
    </row>
    <row r="38" spans="1:26" s="4" customFormat="1" x14ac:dyDescent="0.25">
      <c r="A38" s="180"/>
      <c r="B38" s="95"/>
      <c r="C38" s="37">
        <f>C37</f>
        <v>0.15392749325002175</v>
      </c>
      <c r="D38" s="37">
        <f t="shared" ref="D38:L38" si="24">D37</f>
        <v>0.40481930196049593</v>
      </c>
      <c r="E38" s="37">
        <f t="shared" si="24"/>
        <v>0.37893651576316562</v>
      </c>
      <c r="F38" s="37">
        <f t="shared" si="24"/>
        <v>0.99657840558360089</v>
      </c>
      <c r="G38" s="37">
        <f t="shared" si="24"/>
        <v>0.59538658646021636</v>
      </c>
      <c r="H38" s="37">
        <f t="shared" si="24"/>
        <v>1.5658280222622489</v>
      </c>
      <c r="I38" s="37">
        <f t="shared" si="24"/>
        <v>0.84971838900000141</v>
      </c>
      <c r="J38" s="37">
        <f t="shared" si="24"/>
        <v>2.2347041313747185</v>
      </c>
      <c r="K38" s="37">
        <f t="shared" si="24"/>
        <v>1.3428742516056231</v>
      </c>
      <c r="L38" s="37">
        <f t="shared" si="24"/>
        <v>3.5316719948964348</v>
      </c>
      <c r="M38" s="166"/>
      <c r="N38" s="166"/>
      <c r="O38" s="167"/>
      <c r="P38" s="167"/>
      <c r="Q38" s="167"/>
      <c r="R38" s="167"/>
      <c r="S38" s="167"/>
      <c r="T38" s="167"/>
      <c r="U38" s="167"/>
      <c r="V38" s="167"/>
      <c r="W38" s="167"/>
      <c r="X38" s="167"/>
      <c r="Y38" s="168"/>
      <c r="Z38" s="169"/>
    </row>
    <row r="39" spans="1:26" x14ac:dyDescent="0.25">
      <c r="A39" s="39" t="s">
        <v>23</v>
      </c>
      <c r="B39" s="96" t="s">
        <v>218</v>
      </c>
      <c r="C39" s="37">
        <f>Datos!C34</f>
        <v>0.20599999999999999</v>
      </c>
      <c r="D39" s="37">
        <f>Datos!D34</f>
        <v>0.54176661000000004</v>
      </c>
      <c r="E39" s="37">
        <f>Datos!E34</f>
        <v>0.41299999999999998</v>
      </c>
      <c r="F39" s="37">
        <f>Datos!F34</f>
        <v>1.0861631549999999</v>
      </c>
      <c r="G39" s="37">
        <f>Datos!G34</f>
        <v>0.69499999999999995</v>
      </c>
      <c r="H39" s="37">
        <f>Datos!H34</f>
        <v>1.8278048250000001</v>
      </c>
      <c r="I39" s="37">
        <f>Datos!I34</f>
        <v>1.06</v>
      </c>
      <c r="J39" s="37">
        <f>Datos!J34</f>
        <v>2.7877310999999998</v>
      </c>
      <c r="K39" s="37">
        <f>Datos!K34</f>
        <v>1.516</v>
      </c>
      <c r="L39" s="37">
        <f>Datos!L34</f>
        <v>3.9869814600000004</v>
      </c>
      <c r="M39" s="144">
        <v>2500</v>
      </c>
      <c r="N39" s="144">
        <v>1</v>
      </c>
      <c r="O39" s="41">
        <f>D39*M39</f>
        <v>1354.4165250000001</v>
      </c>
      <c r="P39" s="41">
        <f>F39*M39</f>
        <v>2715.4078875</v>
      </c>
      <c r="Q39" s="41">
        <f>H39*M39</f>
        <v>4569.5120625</v>
      </c>
      <c r="R39" s="41">
        <f>J39*M39</f>
        <v>6969.3277499999995</v>
      </c>
      <c r="S39" s="41">
        <f>L39*M39</f>
        <v>9967.4536500000013</v>
      </c>
      <c r="T39" s="41">
        <f t="shared" si="0"/>
        <v>1354.4165250000001</v>
      </c>
      <c r="U39" s="41">
        <f t="shared" si="1"/>
        <v>2715.4078875</v>
      </c>
      <c r="V39" s="41">
        <f t="shared" si="2"/>
        <v>4569.5120625</v>
      </c>
      <c r="W39" s="41">
        <f t="shared" si="3"/>
        <v>6969.3277499999995</v>
      </c>
      <c r="X39" s="41">
        <f t="shared" si="4"/>
        <v>9967.4536500000013</v>
      </c>
      <c r="Y39" s="139" t="s">
        <v>130</v>
      </c>
      <c r="Z39" s="43"/>
    </row>
    <row r="40" spans="1:26" x14ac:dyDescent="0.25">
      <c r="A40" s="93" t="s">
        <v>23</v>
      </c>
      <c r="B40" s="85" t="s">
        <v>214</v>
      </c>
      <c r="C40" s="37">
        <f>Datos!C35</f>
        <v>0.21657651092854194</v>
      </c>
      <c r="D40" s="37">
        <f>Datos!D35</f>
        <v>0.56958214626885495</v>
      </c>
      <c r="E40" s="37">
        <f>Datos!E35</f>
        <v>0.52885328240384577</v>
      </c>
      <c r="F40" s="37">
        <f>Datos!F35</f>
        <v>1.3908497572587581</v>
      </c>
      <c r="G40" s="37">
        <f>Datos!G35</f>
        <v>0.77421299017539003</v>
      </c>
      <c r="H40" s="37">
        <f>Datos!H35</f>
        <v>2.0361298403169146</v>
      </c>
      <c r="I40" s="37">
        <f>Datos!I35</f>
        <v>1.139698442797263</v>
      </c>
      <c r="J40" s="37">
        <f>Datos!J35</f>
        <v>2.9973328241580197</v>
      </c>
      <c r="K40" s="37">
        <f>Datos!K35</f>
        <v>1.8531260035092387</v>
      </c>
      <c r="L40" s="37">
        <f>Datos!L35</f>
        <v>4.8736009360390691</v>
      </c>
      <c r="M40" s="144">
        <v>2500</v>
      </c>
      <c r="N40" s="144">
        <v>1</v>
      </c>
      <c r="O40" s="41">
        <f>D40*M40</f>
        <v>1423.9553656721373</v>
      </c>
      <c r="P40" s="41">
        <f>F40*M40</f>
        <v>3477.1243931468953</v>
      </c>
      <c r="Q40" s="41">
        <f>H40*M40</f>
        <v>5090.3246007922862</v>
      </c>
      <c r="R40" s="41">
        <f>J40*M40</f>
        <v>7493.3320603950497</v>
      </c>
      <c r="S40" s="41">
        <f>L40*M40</f>
        <v>12184.002340097673</v>
      </c>
      <c r="T40" s="41">
        <f t="shared" si="0"/>
        <v>1423.9553656721373</v>
      </c>
      <c r="U40" s="41">
        <f t="shared" si="1"/>
        <v>3477.1243931468953</v>
      </c>
      <c r="V40" s="41">
        <f t="shared" si="2"/>
        <v>5090.3246007922862</v>
      </c>
      <c r="W40" s="41">
        <f t="shared" si="3"/>
        <v>7493.3320603950497</v>
      </c>
      <c r="X40" s="41">
        <f t="shared" si="4"/>
        <v>12184.002340097673</v>
      </c>
      <c r="Y40" s="140" t="s">
        <v>213</v>
      </c>
      <c r="Z40" s="43"/>
    </row>
    <row r="41" spans="1:26" s="4" customFormat="1" x14ac:dyDescent="0.25">
      <c r="A41" s="180"/>
      <c r="B41" s="95"/>
      <c r="C41" s="37">
        <f>C40</f>
        <v>0.21657651092854194</v>
      </c>
      <c r="D41" s="37">
        <f t="shared" ref="D41:L41" si="25">D40</f>
        <v>0.56958214626885495</v>
      </c>
      <c r="E41" s="37">
        <f t="shared" si="25"/>
        <v>0.52885328240384577</v>
      </c>
      <c r="F41" s="37">
        <f t="shared" si="25"/>
        <v>1.3908497572587581</v>
      </c>
      <c r="G41" s="37">
        <f t="shared" si="25"/>
        <v>0.77421299017539003</v>
      </c>
      <c r="H41" s="37">
        <f t="shared" si="25"/>
        <v>2.0361298403169146</v>
      </c>
      <c r="I41" s="37">
        <f t="shared" si="25"/>
        <v>1.139698442797263</v>
      </c>
      <c r="J41" s="37">
        <f t="shared" si="25"/>
        <v>2.9973328241580197</v>
      </c>
      <c r="K41" s="37">
        <f t="shared" si="25"/>
        <v>1.8531260035092387</v>
      </c>
      <c r="L41" s="37">
        <f t="shared" si="25"/>
        <v>4.8736009360390691</v>
      </c>
      <c r="M41" s="166"/>
      <c r="N41" s="166"/>
      <c r="O41" s="167"/>
      <c r="P41" s="167"/>
      <c r="Q41" s="167"/>
      <c r="R41" s="167"/>
      <c r="S41" s="167"/>
      <c r="T41" s="167"/>
      <c r="U41" s="167"/>
      <c r="V41" s="167"/>
      <c r="W41" s="167"/>
      <c r="X41" s="167"/>
      <c r="Y41" s="168"/>
      <c r="Z41" s="169"/>
    </row>
    <row r="42" spans="1:26" x14ac:dyDescent="0.25">
      <c r="A42" s="38" t="s">
        <v>24</v>
      </c>
      <c r="B42" s="88" t="s">
        <v>95</v>
      </c>
      <c r="C42" s="37">
        <f>Datos!C36</f>
        <v>8.8111193844626467E-3</v>
      </c>
      <c r="D42" s="37">
        <f>Datos!D36</f>
        <v>3.769774343225004E-3</v>
      </c>
      <c r="E42" s="37">
        <f>Datos!E36</f>
        <v>4.2000000000000003E-2</v>
      </c>
      <c r="F42" s="37">
        <f>Datos!F36</f>
        <v>2.2674170139378728E-2</v>
      </c>
      <c r="G42" s="37">
        <f>Datos!G36</f>
        <v>4.8687782805429861E-2</v>
      </c>
      <c r="H42" s="37">
        <f>Datos!H36</f>
        <v>2.720900416725448E-2</v>
      </c>
      <c r="I42" s="37">
        <f>Datos!I36</f>
        <v>0.15</v>
      </c>
      <c r="J42" s="37">
        <f>Datos!J36</f>
        <v>6.9703150798753E-2</v>
      </c>
      <c r="K42" s="37">
        <f>Datos!K36</f>
        <v>0.13102971665514859</v>
      </c>
      <c r="L42" s="37">
        <f>Datos!L36</f>
        <v>0.22629552729785765</v>
      </c>
      <c r="M42" s="144">
        <v>2500</v>
      </c>
      <c r="N42" s="144">
        <v>1</v>
      </c>
      <c r="O42" s="41">
        <f>D42*M42</f>
        <v>9.4244358580625107</v>
      </c>
      <c r="P42" s="41">
        <f>F42*M42</f>
        <v>56.68542534844682</v>
      </c>
      <c r="Q42" s="41">
        <f>H42*M42</f>
        <v>68.022510418136193</v>
      </c>
      <c r="R42" s="41">
        <f>J42*M42</f>
        <v>174.25787699688249</v>
      </c>
      <c r="S42" s="41">
        <f>L42*M42</f>
        <v>565.73881824464411</v>
      </c>
      <c r="T42" s="41">
        <f t="shared" si="0"/>
        <v>9.4244358580625107</v>
      </c>
      <c r="U42" s="41">
        <f t="shared" si="1"/>
        <v>56.68542534844682</v>
      </c>
      <c r="V42" s="41">
        <f t="shared" si="2"/>
        <v>68.022510418136193</v>
      </c>
      <c r="W42" s="41">
        <f t="shared" si="3"/>
        <v>174.25787699688249</v>
      </c>
      <c r="X42" s="41">
        <f t="shared" si="4"/>
        <v>565.73881824464411</v>
      </c>
      <c r="Y42" s="28" t="s">
        <v>81</v>
      </c>
      <c r="Z42" s="43" t="s">
        <v>124</v>
      </c>
    </row>
    <row r="43" spans="1:26" x14ac:dyDescent="0.25">
      <c r="A43" s="39" t="s">
        <v>24</v>
      </c>
      <c r="B43" s="96" t="s">
        <v>218</v>
      </c>
      <c r="C43" s="37">
        <f>Datos!C37</f>
        <v>4.2571428571428573E-2</v>
      </c>
      <c r="D43" s="37">
        <f>Datos!D37</f>
        <v>7.3523198571428569E-2</v>
      </c>
      <c r="E43" s="37">
        <f>Datos!E37</f>
        <v>5.3214285714285714E-2</v>
      </c>
      <c r="F43" s="37">
        <f>Datos!F37</f>
        <v>9.1903998214285701E-2</v>
      </c>
      <c r="G43" s="37">
        <f>Datos!G37</f>
        <v>6.3857142857142848E-2</v>
      </c>
      <c r="H43" s="37">
        <f>Datos!H37</f>
        <v>0.11028479785714285</v>
      </c>
      <c r="I43" s="37">
        <f>Datos!I37</f>
        <v>7.4499999999999997E-2</v>
      </c>
      <c r="J43" s="37">
        <f>Datos!J37</f>
        <v>0.12866559750000001</v>
      </c>
      <c r="K43" s="37">
        <f>Datos!K37</f>
        <v>8.5142857142857145E-2</v>
      </c>
      <c r="L43" s="37">
        <f>Datos!L37</f>
        <v>0.14704639714285714</v>
      </c>
      <c r="M43" s="144">
        <v>2500</v>
      </c>
      <c r="N43" s="144">
        <v>1</v>
      </c>
      <c r="O43" s="41">
        <f>D43*M43</f>
        <v>183.80799642857141</v>
      </c>
      <c r="P43" s="41">
        <f>F43*M43</f>
        <v>229.75999553571424</v>
      </c>
      <c r="Q43" s="41">
        <f>H43*M43</f>
        <v>275.71199464285712</v>
      </c>
      <c r="R43" s="41">
        <f>J43*M43</f>
        <v>321.66399375000003</v>
      </c>
      <c r="S43" s="41">
        <f>L43*M43</f>
        <v>367.61599285714283</v>
      </c>
      <c r="T43" s="41">
        <f t="shared" si="0"/>
        <v>183.80799642857141</v>
      </c>
      <c r="U43" s="41">
        <f t="shared" si="1"/>
        <v>229.75999553571424</v>
      </c>
      <c r="V43" s="41">
        <f t="shared" si="2"/>
        <v>275.71199464285712</v>
      </c>
      <c r="W43" s="41">
        <f t="shared" si="3"/>
        <v>321.66399375000003</v>
      </c>
      <c r="X43" s="41">
        <f t="shared" si="4"/>
        <v>367.61599285714283</v>
      </c>
      <c r="Y43" s="139" t="s">
        <v>130</v>
      </c>
      <c r="Z43" s="43" t="s">
        <v>131</v>
      </c>
    </row>
    <row r="44" spans="1:26" x14ac:dyDescent="0.25">
      <c r="A44" s="93" t="s">
        <v>24</v>
      </c>
      <c r="B44" s="85" t="s">
        <v>214</v>
      </c>
      <c r="C44" s="37">
        <f>Datos!C38</f>
        <v>2.6003723150912643E-2</v>
      </c>
      <c r="D44" s="37">
        <f>Datos!D38</f>
        <v>4.4909860086399439E-2</v>
      </c>
      <c r="E44" s="37">
        <f>Datos!E38</f>
        <v>3.2504653938640805E-2</v>
      </c>
      <c r="F44" s="37">
        <f>Datos!F38</f>
        <v>5.6137325107999299E-2</v>
      </c>
      <c r="G44" s="37">
        <f>Datos!G38</f>
        <v>3.9005584726368968E-2</v>
      </c>
      <c r="H44" s="37">
        <f>Datos!H38</f>
        <v>6.7364790129599159E-2</v>
      </c>
      <c r="I44" s="37">
        <f>Datos!I38</f>
        <v>4.5506515514097123E-2</v>
      </c>
      <c r="J44" s="37">
        <f>Datos!J38</f>
        <v>7.8592255151199011E-2</v>
      </c>
      <c r="K44" s="37">
        <f>Datos!K38</f>
        <v>5.2007446301825286E-2</v>
      </c>
      <c r="L44" s="37">
        <f>Datos!L38</f>
        <v>8.9819720172798878E-2</v>
      </c>
      <c r="M44" s="144">
        <v>2500</v>
      </c>
      <c r="N44" s="144">
        <v>1</v>
      </c>
      <c r="O44" s="41">
        <f>D44*M44</f>
        <v>112.27465021599859</v>
      </c>
      <c r="P44" s="41">
        <f>F44*M44</f>
        <v>140.34331276999825</v>
      </c>
      <c r="Q44" s="41">
        <f>H44*M44</f>
        <v>168.41197532399789</v>
      </c>
      <c r="R44" s="41">
        <f>J44*M44</f>
        <v>196.48063787799754</v>
      </c>
      <c r="S44" s="41">
        <f>L44*M44</f>
        <v>224.54930043199718</v>
      </c>
      <c r="T44" s="41">
        <f t="shared" si="0"/>
        <v>112.27465021599859</v>
      </c>
      <c r="U44" s="41">
        <f t="shared" si="1"/>
        <v>140.34331276999825</v>
      </c>
      <c r="V44" s="41">
        <f t="shared" si="2"/>
        <v>168.41197532399789</v>
      </c>
      <c r="W44" s="41">
        <f t="shared" si="3"/>
        <v>196.48063787799754</v>
      </c>
      <c r="X44" s="41">
        <f t="shared" si="4"/>
        <v>224.54930043199718</v>
      </c>
      <c r="Y44" s="140" t="s">
        <v>213</v>
      </c>
      <c r="Z44" s="43"/>
    </row>
    <row r="45" spans="1:26" x14ac:dyDescent="0.25">
      <c r="A45" s="136" t="s">
        <v>24</v>
      </c>
      <c r="B45" s="135"/>
      <c r="C45" s="37">
        <f>Datos!C39</f>
        <v>0</v>
      </c>
      <c r="D45" s="37">
        <f>Datos!D39</f>
        <v>3.2941541673333324E-2</v>
      </c>
      <c r="E45" s="37">
        <f>Datos!E39</f>
        <v>0</v>
      </c>
      <c r="F45" s="37">
        <f>Datos!F39</f>
        <v>5.5124144023437502E-2</v>
      </c>
      <c r="G45" s="37">
        <f>Datos!G39</f>
        <v>0</v>
      </c>
      <c r="H45" s="37">
        <f>Datos!H39</f>
        <v>0.11843504199999999</v>
      </c>
      <c r="I45" s="37">
        <f>Datos!I39</f>
        <v>0</v>
      </c>
      <c r="J45" s="37">
        <f>Datos!J39</f>
        <v>0.17066866221913576</v>
      </c>
      <c r="K45" s="37">
        <f>Datos!K39</f>
        <v>0</v>
      </c>
      <c r="L45" s="37">
        <f>Datos!L39</f>
        <v>0.24759816345000005</v>
      </c>
      <c r="M45" s="144">
        <v>2500</v>
      </c>
      <c r="N45" s="144">
        <v>1</v>
      </c>
      <c r="O45" s="41">
        <f>D45*M45</f>
        <v>82.353854183333311</v>
      </c>
      <c r="P45" s="41">
        <f>F45*M45</f>
        <v>137.81036005859374</v>
      </c>
      <c r="Q45" s="41">
        <f>H45*M45</f>
        <v>296.087605</v>
      </c>
      <c r="R45" s="41">
        <f>J45*M45</f>
        <v>426.67165554783941</v>
      </c>
      <c r="S45" s="41">
        <f>L45*M45</f>
        <v>618.9954086250001</v>
      </c>
      <c r="T45" s="41">
        <f t="shared" si="0"/>
        <v>82.353854183333311</v>
      </c>
      <c r="U45" s="41">
        <f t="shared" si="1"/>
        <v>137.81036005859374</v>
      </c>
      <c r="V45" s="41">
        <f t="shared" si="2"/>
        <v>296.087605</v>
      </c>
      <c r="W45" s="41">
        <f t="shared" si="3"/>
        <v>426.67165554783941</v>
      </c>
      <c r="X45" s="41">
        <f t="shared" si="4"/>
        <v>618.9954086250001</v>
      </c>
      <c r="Y45" s="142" t="s">
        <v>85</v>
      </c>
      <c r="Z45" s="43"/>
    </row>
    <row r="46" spans="1:26" s="4" customFormat="1" x14ac:dyDescent="0.25">
      <c r="A46" s="180"/>
      <c r="B46" s="95"/>
      <c r="C46" s="37">
        <f>C42</f>
        <v>8.8111193844626467E-3</v>
      </c>
      <c r="D46" s="37">
        <f t="shared" ref="D46:L46" si="26">D42</f>
        <v>3.769774343225004E-3</v>
      </c>
      <c r="E46" s="37">
        <f t="shared" si="26"/>
        <v>4.2000000000000003E-2</v>
      </c>
      <c r="F46" s="37">
        <f t="shared" si="26"/>
        <v>2.2674170139378728E-2</v>
      </c>
      <c r="G46" s="37">
        <f t="shared" si="26"/>
        <v>4.8687782805429861E-2</v>
      </c>
      <c r="H46" s="37">
        <f t="shared" si="26"/>
        <v>2.720900416725448E-2</v>
      </c>
      <c r="I46" s="37">
        <f t="shared" si="26"/>
        <v>0.15</v>
      </c>
      <c r="J46" s="37">
        <f t="shared" si="26"/>
        <v>6.9703150798753E-2</v>
      </c>
      <c r="K46" s="37">
        <f t="shared" si="26"/>
        <v>0.13102971665514859</v>
      </c>
      <c r="L46" s="37">
        <f t="shared" si="26"/>
        <v>0.22629552729785765</v>
      </c>
      <c r="M46" s="166"/>
      <c r="N46" s="166"/>
      <c r="O46" s="167"/>
      <c r="P46" s="167"/>
      <c r="Q46" s="167"/>
      <c r="R46" s="167"/>
      <c r="S46" s="167"/>
      <c r="T46" s="167"/>
      <c r="U46" s="167"/>
      <c r="V46" s="167"/>
      <c r="W46" s="167"/>
      <c r="X46" s="167"/>
      <c r="Y46" s="185"/>
      <c r="Z46" s="169"/>
    </row>
    <row r="47" spans="1:26" x14ac:dyDescent="0.25">
      <c r="A47" s="39" t="s">
        <v>1</v>
      </c>
      <c r="B47" s="96" t="s">
        <v>218</v>
      </c>
      <c r="C47" s="37">
        <f>Datos!C40</f>
        <v>5.5E-2</v>
      </c>
      <c r="D47" s="37">
        <f>Datos!D40</f>
        <v>0.12587226666666668</v>
      </c>
      <c r="E47" s="37">
        <f>Datos!E40</f>
        <v>6.8750000000000006E-2</v>
      </c>
      <c r="F47" s="37">
        <f>Datos!F40</f>
        <v>0.15734033333333336</v>
      </c>
      <c r="G47" s="37">
        <f>Datos!G40</f>
        <v>8.2500000000000004E-2</v>
      </c>
      <c r="H47" s="37">
        <f>Datos!H40</f>
        <v>0.18880840000000004</v>
      </c>
      <c r="I47" s="37">
        <f>Datos!I40</f>
        <v>9.6250000000000002E-2</v>
      </c>
      <c r="J47" s="37">
        <f>Datos!J40</f>
        <v>0.22027646666666667</v>
      </c>
      <c r="K47" s="37">
        <f>Datos!K40</f>
        <v>0.11</v>
      </c>
      <c r="L47" s="37">
        <f>Datos!L40</f>
        <v>0.25174453333333335</v>
      </c>
      <c r="M47" s="144">
        <v>2500</v>
      </c>
      <c r="N47" s="144">
        <v>1</v>
      </c>
      <c r="O47" s="41">
        <f>D47*M47</f>
        <v>314.6806666666667</v>
      </c>
      <c r="P47" s="41">
        <f>F47*M47</f>
        <v>393.35083333333341</v>
      </c>
      <c r="Q47" s="41">
        <f>H47*M47</f>
        <v>472.02100000000013</v>
      </c>
      <c r="R47" s="41">
        <f>J47*M47</f>
        <v>550.69116666666673</v>
      </c>
      <c r="S47" s="41">
        <f>L47*M47</f>
        <v>629.36133333333339</v>
      </c>
      <c r="T47" s="41">
        <f t="shared" si="0"/>
        <v>314.6806666666667</v>
      </c>
      <c r="U47" s="41">
        <f t="shared" si="1"/>
        <v>393.35083333333341</v>
      </c>
      <c r="V47" s="41">
        <f t="shared" si="2"/>
        <v>472.02100000000013</v>
      </c>
      <c r="W47" s="41">
        <f t="shared" si="3"/>
        <v>550.69116666666673</v>
      </c>
      <c r="X47" s="41">
        <f t="shared" si="4"/>
        <v>629.36133333333339</v>
      </c>
      <c r="Y47" s="139" t="s">
        <v>130</v>
      </c>
      <c r="Z47" s="43" t="s">
        <v>148</v>
      </c>
    </row>
    <row r="48" spans="1:26" x14ac:dyDescent="0.25">
      <c r="A48" s="93" t="s">
        <v>1</v>
      </c>
      <c r="B48" s="85" t="s">
        <v>214</v>
      </c>
      <c r="C48" s="37">
        <f>Datos!C41</f>
        <v>3.9761341679913867E-2</v>
      </c>
      <c r="D48" s="37">
        <f>Datos!D41</f>
        <v>9.0997276417428483E-2</v>
      </c>
      <c r="E48" s="37">
        <f>Datos!E41</f>
        <v>4.970167709989233E-2</v>
      </c>
      <c r="F48" s="37">
        <f>Datos!F41</f>
        <v>0.11374659552178558</v>
      </c>
      <c r="G48" s="37">
        <f>Datos!G41</f>
        <v>8.0707300439288143E-2</v>
      </c>
      <c r="H48" s="37">
        <f>Datos!H41</f>
        <v>0.18470565168801564</v>
      </c>
      <c r="I48" s="37">
        <f>Datos!I41</f>
        <v>0.12556522035551965</v>
      </c>
      <c r="J48" s="37">
        <f>Datos!J41</f>
        <v>0.28736688910270414</v>
      </c>
      <c r="K48" s="37">
        <f>Datos!K41</f>
        <v>0.14350310897773672</v>
      </c>
      <c r="L48" s="37">
        <f>Datos!L41</f>
        <v>0.32841930183166185</v>
      </c>
      <c r="M48" s="144">
        <v>2500</v>
      </c>
      <c r="N48" s="144">
        <v>1</v>
      </c>
      <c r="O48" s="41">
        <f>D48*M48</f>
        <v>227.49319104357122</v>
      </c>
      <c r="P48" s="41">
        <f>F48*M48</f>
        <v>284.36648880446393</v>
      </c>
      <c r="Q48" s="41">
        <f>H48*M48</f>
        <v>461.76412922003908</v>
      </c>
      <c r="R48" s="41">
        <f>J48*M48</f>
        <v>718.41722275676034</v>
      </c>
      <c r="S48" s="41">
        <f>L48*M48</f>
        <v>821.04825457915467</v>
      </c>
      <c r="T48" s="41">
        <f t="shared" si="0"/>
        <v>227.49319104357122</v>
      </c>
      <c r="U48" s="41">
        <f t="shared" si="1"/>
        <v>284.36648880446393</v>
      </c>
      <c r="V48" s="41">
        <f t="shared" si="2"/>
        <v>461.76412922003908</v>
      </c>
      <c r="W48" s="41">
        <f t="shared" si="3"/>
        <v>718.41722275676034</v>
      </c>
      <c r="X48" s="41">
        <f t="shared" si="4"/>
        <v>821.04825457915467</v>
      </c>
      <c r="Y48" s="140" t="s">
        <v>213</v>
      </c>
      <c r="Z48" s="43"/>
    </row>
    <row r="49" spans="1:26" s="4" customFormat="1" x14ac:dyDescent="0.25">
      <c r="A49" s="180"/>
      <c r="B49" s="95"/>
      <c r="C49" s="37">
        <f>C48</f>
        <v>3.9761341679913867E-2</v>
      </c>
      <c r="D49" s="37">
        <f t="shared" ref="D49:L49" si="27">D48</f>
        <v>9.0997276417428483E-2</v>
      </c>
      <c r="E49" s="37">
        <f t="shared" si="27"/>
        <v>4.970167709989233E-2</v>
      </c>
      <c r="F49" s="37">
        <f t="shared" si="27"/>
        <v>0.11374659552178558</v>
      </c>
      <c r="G49" s="37">
        <f t="shared" si="27"/>
        <v>8.0707300439288143E-2</v>
      </c>
      <c r="H49" s="37">
        <f t="shared" si="27"/>
        <v>0.18470565168801564</v>
      </c>
      <c r="I49" s="37">
        <f t="shared" si="27"/>
        <v>0.12556522035551965</v>
      </c>
      <c r="J49" s="37">
        <f t="shared" si="27"/>
        <v>0.28736688910270414</v>
      </c>
      <c r="K49" s="37">
        <f t="shared" si="27"/>
        <v>0.14350310897773672</v>
      </c>
      <c r="L49" s="37">
        <f t="shared" si="27"/>
        <v>0.32841930183166185</v>
      </c>
      <c r="M49" s="166"/>
      <c r="N49" s="166"/>
      <c r="O49" s="167"/>
      <c r="P49" s="167"/>
      <c r="Q49" s="167"/>
      <c r="R49" s="167"/>
      <c r="S49" s="167"/>
      <c r="T49" s="167"/>
      <c r="U49" s="167"/>
      <c r="V49" s="167"/>
      <c r="W49" s="167"/>
      <c r="X49" s="167"/>
      <c r="Y49" s="168"/>
      <c r="Z49" s="169"/>
    </row>
    <row r="50" spans="1:26" x14ac:dyDescent="0.25">
      <c r="A50" s="92" t="s">
        <v>25</v>
      </c>
      <c r="B50" s="85" t="s">
        <v>214</v>
      </c>
      <c r="C50" s="37">
        <f>Datos!C42</f>
        <v>1.6425143721851405E-2</v>
      </c>
      <c r="D50" s="37">
        <f>Datos!D42</f>
        <v>3.1871348877880464E-2</v>
      </c>
      <c r="E50" s="37">
        <f>Datos!E42</f>
        <v>2.0531429652314255E-2</v>
      </c>
      <c r="F50" s="37">
        <f>Datos!F42</f>
        <v>3.9839186097350585E-2</v>
      </c>
      <c r="G50" s="37">
        <f>Datos!G42</f>
        <v>2.4637715582777105E-2</v>
      </c>
      <c r="H50" s="37">
        <f>Datos!H42</f>
        <v>4.7807023316820692E-2</v>
      </c>
      <c r="I50" s="37">
        <f>Datos!I42</f>
        <v>4.3231905657951541E-2</v>
      </c>
      <c r="J50" s="37">
        <f>Datos!J42</f>
        <v>8.388718973868918E-2</v>
      </c>
      <c r="K50" s="37">
        <f>Datos!K42</f>
        <v>4.9407892180516048E-2</v>
      </c>
      <c r="L50" s="37">
        <f>Datos!L42</f>
        <v>9.5871073987073341E-2</v>
      </c>
      <c r="M50" s="144">
        <v>2500</v>
      </c>
      <c r="N50" s="144">
        <v>1</v>
      </c>
      <c r="O50" s="41">
        <f t="shared" ref="O50:O66" si="28">D50*M50</f>
        <v>79.678372194701154</v>
      </c>
      <c r="P50" s="41">
        <f t="shared" ref="P50:P66" si="29">F50*M50</f>
        <v>99.597965243376464</v>
      </c>
      <c r="Q50" s="41">
        <f t="shared" ref="Q50:Q66" si="30">H50*M50</f>
        <v>119.51755829205173</v>
      </c>
      <c r="R50" s="41">
        <f t="shared" ref="R50:R66" si="31">J50*M50</f>
        <v>209.71797434672294</v>
      </c>
      <c r="S50" s="41">
        <f t="shared" ref="S50:S66" si="32">L50*M50</f>
        <v>239.67768496768335</v>
      </c>
      <c r="T50" s="41">
        <f t="shared" si="0"/>
        <v>79.678372194701154</v>
      </c>
      <c r="U50" s="41">
        <f t="shared" si="1"/>
        <v>99.597965243376464</v>
      </c>
      <c r="V50" s="41">
        <f t="shared" si="2"/>
        <v>119.51755829205173</v>
      </c>
      <c r="W50" s="41">
        <f t="shared" si="3"/>
        <v>209.71797434672294</v>
      </c>
      <c r="X50" s="41">
        <f t="shared" si="4"/>
        <v>239.67768496768335</v>
      </c>
      <c r="Y50" s="140" t="s">
        <v>213</v>
      </c>
      <c r="Z50" s="43"/>
    </row>
    <row r="51" spans="1:26" x14ac:dyDescent="0.25">
      <c r="A51" s="92" t="s">
        <v>26</v>
      </c>
      <c r="B51" s="85" t="s">
        <v>214</v>
      </c>
      <c r="C51" s="37">
        <f>Datos!C43</f>
        <v>1.8499049966165151E-2</v>
      </c>
      <c r="D51" s="37">
        <f>Datos!D43</f>
        <v>3.5895556554346862E-2</v>
      </c>
      <c r="E51" s="37">
        <f>Datos!E43</f>
        <v>2.3123812457706443E-2</v>
      </c>
      <c r="F51" s="37">
        <f>Datos!F43</f>
        <v>4.4869445692933579E-2</v>
      </c>
      <c r="G51" s="37">
        <f>Datos!G43</f>
        <v>2.7748574949247731E-2</v>
      </c>
      <c r="H51" s="37">
        <f>Datos!H43</f>
        <v>5.3843334831520297E-2</v>
      </c>
      <c r="I51" s="37">
        <f>Datos!I43</f>
        <v>6.189334461449373E-2</v>
      </c>
      <c r="J51" s="37">
        <f>Datos!J43</f>
        <v>0.12009784588996364</v>
      </c>
      <c r="K51" s="37">
        <f>Datos!K43</f>
        <v>7.073525098799284E-2</v>
      </c>
      <c r="L51" s="37">
        <f>Datos!L43</f>
        <v>0.13725468101710131</v>
      </c>
      <c r="M51" s="144">
        <v>2500</v>
      </c>
      <c r="N51" s="144">
        <v>1</v>
      </c>
      <c r="O51" s="41">
        <f t="shared" si="28"/>
        <v>89.738891385867149</v>
      </c>
      <c r="P51" s="41">
        <f t="shared" si="29"/>
        <v>112.17361423233395</v>
      </c>
      <c r="Q51" s="41">
        <f t="shared" si="30"/>
        <v>134.60833707880073</v>
      </c>
      <c r="R51" s="41">
        <f t="shared" si="31"/>
        <v>300.24461472490907</v>
      </c>
      <c r="S51" s="41">
        <f t="shared" si="32"/>
        <v>343.13670254275326</v>
      </c>
      <c r="T51" s="41">
        <f t="shared" si="0"/>
        <v>89.738891385867149</v>
      </c>
      <c r="U51" s="41">
        <f t="shared" si="1"/>
        <v>112.17361423233395</v>
      </c>
      <c r="V51" s="41">
        <f t="shared" si="2"/>
        <v>134.60833707880073</v>
      </c>
      <c r="W51" s="41">
        <f t="shared" si="3"/>
        <v>300.24461472490907</v>
      </c>
      <c r="X51" s="41">
        <f t="shared" si="4"/>
        <v>343.13670254275326</v>
      </c>
      <c r="Y51" s="140" t="s">
        <v>213</v>
      </c>
      <c r="Z51" s="43"/>
    </row>
    <row r="52" spans="1:26" x14ac:dyDescent="0.25">
      <c r="A52" s="92" t="s">
        <v>204</v>
      </c>
      <c r="B52" s="85" t="s">
        <v>214</v>
      </c>
      <c r="C52" s="37">
        <f>Datos!C44</f>
        <v>5.7798455470010439E-3</v>
      </c>
      <c r="D52" s="37">
        <f>Datos!D44</f>
        <v>1.138475443544619E-2</v>
      </c>
      <c r="E52" s="37">
        <f>Datos!E44</f>
        <v>7.224806933751304E-3</v>
      </c>
      <c r="F52" s="37">
        <f>Datos!F44</f>
        <v>1.4230943044307736E-2</v>
      </c>
      <c r="G52" s="37">
        <f>Datos!G44</f>
        <v>8.6697683205015658E-3</v>
      </c>
      <c r="H52" s="37">
        <f>Datos!H44</f>
        <v>1.7077131653169285E-2</v>
      </c>
      <c r="I52" s="37">
        <f>Datos!I44</f>
        <v>1.0114729707251826E-2</v>
      </c>
      <c r="J52" s="37">
        <f>Datos!J44</f>
        <v>1.9923320262030829E-2</v>
      </c>
      <c r="K52" s="37">
        <f>Datos!K44</f>
        <v>1.1559691094002088E-2</v>
      </c>
      <c r="L52" s="37">
        <f>Datos!L44</f>
        <v>2.276950887089238E-2</v>
      </c>
      <c r="M52" s="144">
        <v>2500</v>
      </c>
      <c r="N52" s="144">
        <v>1</v>
      </c>
      <c r="O52" s="41">
        <f t="shared" si="28"/>
        <v>28.461886088615476</v>
      </c>
      <c r="P52" s="41">
        <f t="shared" si="29"/>
        <v>35.57735761076934</v>
      </c>
      <c r="Q52" s="41">
        <f t="shared" si="30"/>
        <v>42.692829132923215</v>
      </c>
      <c r="R52" s="41">
        <f t="shared" si="31"/>
        <v>49.808300655077069</v>
      </c>
      <c r="S52" s="41">
        <f t="shared" si="32"/>
        <v>56.923772177230951</v>
      </c>
      <c r="T52" s="41">
        <f t="shared" si="0"/>
        <v>28.461886088615476</v>
      </c>
      <c r="U52" s="41">
        <f t="shared" si="1"/>
        <v>35.57735761076934</v>
      </c>
      <c r="V52" s="41">
        <f t="shared" si="2"/>
        <v>42.692829132923215</v>
      </c>
      <c r="W52" s="41">
        <f t="shared" si="3"/>
        <v>49.808300655077069</v>
      </c>
      <c r="X52" s="41">
        <f t="shared" si="4"/>
        <v>56.923772177230951</v>
      </c>
      <c r="Y52" s="140" t="s">
        <v>213</v>
      </c>
      <c r="Z52" s="43"/>
    </row>
    <row r="53" spans="1:26" x14ac:dyDescent="0.25">
      <c r="A53" s="92" t="s">
        <v>205</v>
      </c>
      <c r="B53" s="85" t="s">
        <v>214</v>
      </c>
      <c r="C53" s="37">
        <f>Datos!C45</f>
        <v>9.5725715263053086E-3</v>
      </c>
      <c r="D53" s="37">
        <f>Datos!D45</f>
        <v>1.885541322108111E-2</v>
      </c>
      <c r="E53" s="37">
        <f>Datos!E45</f>
        <v>1.1965714407881635E-2</v>
      </c>
      <c r="F53" s="37">
        <f>Datos!F45</f>
        <v>2.3569266526351388E-2</v>
      </c>
      <c r="G53" s="37">
        <f>Datos!G45</f>
        <v>1.4358857289457962E-2</v>
      </c>
      <c r="H53" s="37">
        <f>Datos!H45</f>
        <v>2.8283119831621666E-2</v>
      </c>
      <c r="I53" s="37">
        <f>Datos!I45</f>
        <v>1.675200017103429E-2</v>
      </c>
      <c r="J53" s="37">
        <f>Datos!J45</f>
        <v>3.2996973136891941E-2</v>
      </c>
      <c r="K53" s="37">
        <f>Datos!K45</f>
        <v>1.9145143052610617E-2</v>
      </c>
      <c r="L53" s="37">
        <f>Datos!L45</f>
        <v>3.7710826442162219E-2</v>
      </c>
      <c r="M53" s="144">
        <v>2500</v>
      </c>
      <c r="N53" s="144">
        <v>1</v>
      </c>
      <c r="O53" s="41">
        <f t="shared" si="28"/>
        <v>47.138533052702776</v>
      </c>
      <c r="P53" s="41">
        <f t="shared" si="29"/>
        <v>58.923166315878468</v>
      </c>
      <c r="Q53" s="41">
        <f t="shared" si="30"/>
        <v>70.707799579054168</v>
      </c>
      <c r="R53" s="41">
        <f t="shared" si="31"/>
        <v>82.492432842229846</v>
      </c>
      <c r="S53" s="41">
        <f t="shared" si="32"/>
        <v>94.277066105405552</v>
      </c>
      <c r="T53" s="41">
        <f t="shared" si="0"/>
        <v>47.138533052702776</v>
      </c>
      <c r="U53" s="41">
        <f t="shared" si="1"/>
        <v>58.923166315878468</v>
      </c>
      <c r="V53" s="41">
        <f t="shared" si="2"/>
        <v>70.707799579054168</v>
      </c>
      <c r="W53" s="41">
        <f t="shared" si="3"/>
        <v>82.492432842229846</v>
      </c>
      <c r="X53" s="41">
        <f t="shared" si="4"/>
        <v>94.277066105405552</v>
      </c>
      <c r="Y53" s="140" t="s">
        <v>213</v>
      </c>
      <c r="Z53" s="43"/>
    </row>
    <row r="54" spans="1:26" x14ac:dyDescent="0.25">
      <c r="A54" s="92" t="s">
        <v>107</v>
      </c>
      <c r="B54" s="85" t="s">
        <v>214</v>
      </c>
      <c r="C54" s="37">
        <f>Datos!C46</f>
        <v>7.0783056874107976E-3</v>
      </c>
      <c r="D54" s="37">
        <f>Datos!D46</f>
        <v>1.3942374656015961E-2</v>
      </c>
      <c r="E54" s="37">
        <f>Datos!E46</f>
        <v>8.8478821092634972E-3</v>
      </c>
      <c r="F54" s="37">
        <f>Datos!F46</f>
        <v>1.742796832001995E-2</v>
      </c>
      <c r="G54" s="37">
        <f>Datos!G46</f>
        <v>1.0617458531116196E-2</v>
      </c>
      <c r="H54" s="37">
        <f>Datos!H46</f>
        <v>2.0913561984023939E-2</v>
      </c>
      <c r="I54" s="37">
        <f>Datos!I46</f>
        <v>1.2387034952968895E-2</v>
      </c>
      <c r="J54" s="37">
        <f>Datos!J46</f>
        <v>2.4399155648027929E-2</v>
      </c>
      <c r="K54" s="37">
        <f>Datos!K46</f>
        <v>1.4156611374821595E-2</v>
      </c>
      <c r="L54" s="37">
        <f>Datos!L46</f>
        <v>2.7884749312031921E-2</v>
      </c>
      <c r="M54" s="144">
        <v>2500</v>
      </c>
      <c r="N54" s="144">
        <v>1</v>
      </c>
      <c r="O54" s="41">
        <f t="shared" si="28"/>
        <v>34.8559366400399</v>
      </c>
      <c r="P54" s="41">
        <f t="shared" si="29"/>
        <v>43.569920800049879</v>
      </c>
      <c r="Q54" s="41">
        <f t="shared" si="30"/>
        <v>52.28390496005985</v>
      </c>
      <c r="R54" s="41">
        <f t="shared" si="31"/>
        <v>60.997889120069821</v>
      </c>
      <c r="S54" s="41">
        <f t="shared" si="32"/>
        <v>69.7118732800798</v>
      </c>
      <c r="T54" s="41">
        <f t="shared" si="0"/>
        <v>34.8559366400399</v>
      </c>
      <c r="U54" s="41">
        <f t="shared" si="1"/>
        <v>43.569920800049879</v>
      </c>
      <c r="V54" s="41">
        <f t="shared" si="2"/>
        <v>52.28390496005985</v>
      </c>
      <c r="W54" s="41">
        <f t="shared" si="3"/>
        <v>60.997889120069821</v>
      </c>
      <c r="X54" s="41">
        <f t="shared" si="4"/>
        <v>69.7118732800798</v>
      </c>
      <c r="Y54" s="140" t="s">
        <v>213</v>
      </c>
      <c r="Z54" s="43"/>
    </row>
    <row r="55" spans="1:26" x14ac:dyDescent="0.25">
      <c r="A55" s="305" t="s">
        <v>206</v>
      </c>
      <c r="B55" s="318" t="s">
        <v>214</v>
      </c>
      <c r="C55" s="37">
        <f>Datos!C47</f>
        <v>0.22804054532011345</v>
      </c>
      <c r="D55" s="37">
        <f>Datos!D47</f>
        <v>0.34382433153064573</v>
      </c>
      <c r="E55" s="37">
        <f>Datos!E47</f>
        <v>0.2850506816501418</v>
      </c>
      <c r="F55" s="37">
        <f>Datos!F47</f>
        <v>0.42978041441330711</v>
      </c>
      <c r="G55" s="37">
        <f>Datos!G47</f>
        <v>0.34206081798017018</v>
      </c>
      <c r="H55" s="37">
        <f>Datos!H47</f>
        <v>0.5157364972959686</v>
      </c>
      <c r="I55" s="37">
        <f>Datos!I47</f>
        <v>0.39907095431019857</v>
      </c>
      <c r="J55" s="37">
        <f>Datos!J47</f>
        <v>0.60169258017863003</v>
      </c>
      <c r="K55" s="37">
        <f>Datos!K47</f>
        <v>0.45608109064022689</v>
      </c>
      <c r="L55" s="37">
        <f>Datos!L47</f>
        <v>0.68764866306129147</v>
      </c>
      <c r="M55" s="144">
        <v>2500</v>
      </c>
      <c r="N55" s="144">
        <v>1</v>
      </c>
      <c r="O55" s="41">
        <f t="shared" si="28"/>
        <v>859.56082882661428</v>
      </c>
      <c r="P55" s="41">
        <f t="shared" si="29"/>
        <v>1074.4510360332679</v>
      </c>
      <c r="Q55" s="41">
        <f t="shared" si="30"/>
        <v>1289.3412432399216</v>
      </c>
      <c r="R55" s="41">
        <f t="shared" si="31"/>
        <v>1504.2314504465751</v>
      </c>
      <c r="S55" s="41">
        <f t="shared" si="32"/>
        <v>1719.1216576532286</v>
      </c>
      <c r="T55" s="41">
        <f t="shared" si="0"/>
        <v>859.56082882661428</v>
      </c>
      <c r="U55" s="41">
        <f t="shared" si="1"/>
        <v>1074.4510360332679</v>
      </c>
      <c r="V55" s="41">
        <f t="shared" si="2"/>
        <v>1289.3412432399216</v>
      </c>
      <c r="W55" s="41">
        <f t="shared" si="3"/>
        <v>1504.2314504465751</v>
      </c>
      <c r="X55" s="41">
        <f t="shared" si="4"/>
        <v>1719.1216576532286</v>
      </c>
      <c r="Y55" s="317" t="s">
        <v>487</v>
      </c>
      <c r="Z55" s="43"/>
    </row>
    <row r="56" spans="1:26" x14ac:dyDescent="0.25">
      <c r="A56" s="170" t="s">
        <v>27</v>
      </c>
      <c r="B56" s="171"/>
      <c r="C56" s="37">
        <f>Datos!C48</f>
        <v>0</v>
      </c>
      <c r="D56" s="37">
        <f>Datos!D48</f>
        <v>0</v>
      </c>
      <c r="E56" s="37">
        <f>Datos!E48</f>
        <v>0</v>
      </c>
      <c r="F56" s="37">
        <f>Datos!F48</f>
        <v>0</v>
      </c>
      <c r="G56" s="37">
        <f>Datos!G48</f>
        <v>0</v>
      </c>
      <c r="H56" s="37">
        <f>Datos!H48</f>
        <v>0</v>
      </c>
      <c r="I56" s="37">
        <f>Datos!I48</f>
        <v>0</v>
      </c>
      <c r="J56" s="37">
        <f>Datos!J48</f>
        <v>0</v>
      </c>
      <c r="K56" s="37">
        <f>Datos!K48</f>
        <v>0</v>
      </c>
      <c r="L56" s="37">
        <f>Datos!L48</f>
        <v>0</v>
      </c>
      <c r="M56" s="144">
        <v>2500</v>
      </c>
      <c r="N56" s="144">
        <v>1</v>
      </c>
      <c r="O56" s="41">
        <f t="shared" si="28"/>
        <v>0</v>
      </c>
      <c r="P56" s="41">
        <f t="shared" si="29"/>
        <v>0</v>
      </c>
      <c r="Q56" s="41">
        <f t="shared" si="30"/>
        <v>0</v>
      </c>
      <c r="R56" s="41">
        <f t="shared" si="31"/>
        <v>0</v>
      </c>
      <c r="S56" s="41">
        <f t="shared" si="32"/>
        <v>0</v>
      </c>
      <c r="T56" s="41">
        <f t="shared" si="0"/>
        <v>0</v>
      </c>
      <c r="U56" s="41">
        <f t="shared" si="1"/>
        <v>0</v>
      </c>
      <c r="V56" s="41">
        <f t="shared" si="2"/>
        <v>0</v>
      </c>
      <c r="W56" s="41">
        <f t="shared" si="3"/>
        <v>0</v>
      </c>
      <c r="X56" s="41">
        <f t="shared" si="4"/>
        <v>0</v>
      </c>
      <c r="Y56" s="141"/>
      <c r="Z56" s="43"/>
    </row>
    <row r="57" spans="1:26" x14ac:dyDescent="0.25">
      <c r="A57" s="170" t="s">
        <v>28</v>
      </c>
      <c r="B57" s="172"/>
      <c r="C57" s="37">
        <f>Datos!C49</f>
        <v>0</v>
      </c>
      <c r="D57" s="37">
        <f>Datos!D49</f>
        <v>0</v>
      </c>
      <c r="E57" s="37">
        <f>Datos!E49</f>
        <v>0</v>
      </c>
      <c r="F57" s="37">
        <f>Datos!F49</f>
        <v>0</v>
      </c>
      <c r="G57" s="37">
        <f>Datos!G49</f>
        <v>0</v>
      </c>
      <c r="H57" s="37">
        <f>Datos!H49</f>
        <v>0</v>
      </c>
      <c r="I57" s="37">
        <f>Datos!I49</f>
        <v>0</v>
      </c>
      <c r="J57" s="37">
        <f>Datos!J49</f>
        <v>0</v>
      </c>
      <c r="K57" s="37">
        <f>Datos!K49</f>
        <v>0</v>
      </c>
      <c r="L57" s="37">
        <f>Datos!L49</f>
        <v>0</v>
      </c>
      <c r="M57" s="144">
        <v>2500</v>
      </c>
      <c r="N57" s="144">
        <v>1</v>
      </c>
      <c r="O57" s="41">
        <f t="shared" si="28"/>
        <v>0</v>
      </c>
      <c r="P57" s="41">
        <f t="shared" si="29"/>
        <v>0</v>
      </c>
      <c r="Q57" s="41">
        <f t="shared" si="30"/>
        <v>0</v>
      </c>
      <c r="R57" s="41">
        <f t="shared" si="31"/>
        <v>0</v>
      </c>
      <c r="S57" s="41">
        <f t="shared" si="32"/>
        <v>0</v>
      </c>
      <c r="T57" s="41">
        <f t="shared" si="0"/>
        <v>0</v>
      </c>
      <c r="U57" s="41">
        <f t="shared" si="1"/>
        <v>0</v>
      </c>
      <c r="V57" s="41">
        <f t="shared" si="2"/>
        <v>0</v>
      </c>
      <c r="W57" s="41">
        <f t="shared" si="3"/>
        <v>0</v>
      </c>
      <c r="X57" s="41">
        <f t="shared" si="4"/>
        <v>0</v>
      </c>
      <c r="Y57" s="141"/>
      <c r="Z57" s="43"/>
    </row>
    <row r="58" spans="1:26" x14ac:dyDescent="0.25">
      <c r="A58" s="170" t="s">
        <v>29</v>
      </c>
      <c r="B58" s="171"/>
      <c r="C58" s="37">
        <f>Datos!C50</f>
        <v>0</v>
      </c>
      <c r="D58" s="37">
        <f>Datos!D50</f>
        <v>0</v>
      </c>
      <c r="E58" s="37">
        <f>Datos!E50</f>
        <v>0</v>
      </c>
      <c r="F58" s="37">
        <f>Datos!F50</f>
        <v>0</v>
      </c>
      <c r="G58" s="37">
        <f>Datos!G50</f>
        <v>0</v>
      </c>
      <c r="H58" s="37">
        <f>Datos!H50</f>
        <v>0</v>
      </c>
      <c r="I58" s="37">
        <f>Datos!I50</f>
        <v>0</v>
      </c>
      <c r="J58" s="37">
        <f>Datos!J50</f>
        <v>0</v>
      </c>
      <c r="K58" s="37">
        <f>Datos!K50</f>
        <v>0</v>
      </c>
      <c r="L58" s="37">
        <f>Datos!L50</f>
        <v>0</v>
      </c>
      <c r="M58" s="144">
        <v>2500</v>
      </c>
      <c r="N58" s="144">
        <v>1</v>
      </c>
      <c r="O58" s="41">
        <f t="shared" si="28"/>
        <v>0</v>
      </c>
      <c r="P58" s="41">
        <f t="shared" si="29"/>
        <v>0</v>
      </c>
      <c r="Q58" s="41">
        <f t="shared" si="30"/>
        <v>0</v>
      </c>
      <c r="R58" s="41">
        <f t="shared" si="31"/>
        <v>0</v>
      </c>
      <c r="S58" s="41">
        <f t="shared" si="32"/>
        <v>0</v>
      </c>
      <c r="T58" s="41">
        <f t="shared" si="0"/>
        <v>0</v>
      </c>
      <c r="U58" s="41">
        <f t="shared" si="1"/>
        <v>0</v>
      </c>
      <c r="V58" s="41">
        <f t="shared" si="2"/>
        <v>0</v>
      </c>
      <c r="W58" s="41">
        <f t="shared" si="3"/>
        <v>0</v>
      </c>
      <c r="X58" s="41">
        <f t="shared" si="4"/>
        <v>0</v>
      </c>
      <c r="Y58" s="141"/>
      <c r="Z58" s="43"/>
    </row>
    <row r="59" spans="1:26" x14ac:dyDescent="0.25">
      <c r="A59" s="170" t="s">
        <v>33</v>
      </c>
      <c r="B59" s="171"/>
      <c r="C59" s="37">
        <f>Datos!C51</f>
        <v>0</v>
      </c>
      <c r="D59" s="37">
        <f>Datos!D51</f>
        <v>0</v>
      </c>
      <c r="E59" s="37">
        <f>Datos!E51</f>
        <v>0</v>
      </c>
      <c r="F59" s="37">
        <f>Datos!F51</f>
        <v>0</v>
      </c>
      <c r="G59" s="37">
        <f>Datos!G51</f>
        <v>0</v>
      </c>
      <c r="H59" s="37">
        <f>Datos!H51</f>
        <v>0</v>
      </c>
      <c r="I59" s="37">
        <f>Datos!I51</f>
        <v>0</v>
      </c>
      <c r="J59" s="37">
        <f>Datos!J51</f>
        <v>0</v>
      </c>
      <c r="K59" s="37">
        <f>Datos!K51</f>
        <v>0</v>
      </c>
      <c r="L59" s="37">
        <f>Datos!L51</f>
        <v>0</v>
      </c>
      <c r="M59" s="144">
        <v>2500</v>
      </c>
      <c r="N59" s="144">
        <v>1</v>
      </c>
      <c r="O59" s="41">
        <f t="shared" si="28"/>
        <v>0</v>
      </c>
      <c r="P59" s="41">
        <f t="shared" si="29"/>
        <v>0</v>
      </c>
      <c r="Q59" s="41">
        <f t="shared" si="30"/>
        <v>0</v>
      </c>
      <c r="R59" s="41">
        <f t="shared" si="31"/>
        <v>0</v>
      </c>
      <c r="S59" s="41">
        <f t="shared" si="32"/>
        <v>0</v>
      </c>
      <c r="T59" s="41">
        <f t="shared" si="0"/>
        <v>0</v>
      </c>
      <c r="U59" s="41">
        <f t="shared" si="1"/>
        <v>0</v>
      </c>
      <c r="V59" s="41">
        <f t="shared" si="2"/>
        <v>0</v>
      </c>
      <c r="W59" s="41">
        <f t="shared" si="3"/>
        <v>0</v>
      </c>
      <c r="X59" s="41">
        <f t="shared" si="4"/>
        <v>0</v>
      </c>
      <c r="Y59" s="141"/>
      <c r="Z59" s="43"/>
    </row>
    <row r="60" spans="1:26" x14ac:dyDescent="0.25">
      <c r="A60" s="170" t="s">
        <v>34</v>
      </c>
      <c r="B60" s="171"/>
      <c r="C60" s="37">
        <f>Datos!C52</f>
        <v>0</v>
      </c>
      <c r="D60" s="37">
        <f>Datos!D52</f>
        <v>0</v>
      </c>
      <c r="E60" s="37">
        <f>Datos!E52</f>
        <v>0</v>
      </c>
      <c r="F60" s="37">
        <f>Datos!F52</f>
        <v>0</v>
      </c>
      <c r="G60" s="37">
        <f>Datos!G52</f>
        <v>0</v>
      </c>
      <c r="H60" s="37">
        <f>Datos!H52</f>
        <v>0</v>
      </c>
      <c r="I60" s="37">
        <f>Datos!I52</f>
        <v>0</v>
      </c>
      <c r="J60" s="37">
        <f>Datos!J52</f>
        <v>0</v>
      </c>
      <c r="K60" s="37">
        <f>Datos!K52</f>
        <v>0</v>
      </c>
      <c r="L60" s="37">
        <f>Datos!L52</f>
        <v>0</v>
      </c>
      <c r="M60" s="144">
        <v>2500</v>
      </c>
      <c r="N60" s="144">
        <v>1</v>
      </c>
      <c r="O60" s="41">
        <f t="shared" si="28"/>
        <v>0</v>
      </c>
      <c r="P60" s="41">
        <f t="shared" si="29"/>
        <v>0</v>
      </c>
      <c r="Q60" s="41">
        <f t="shared" si="30"/>
        <v>0</v>
      </c>
      <c r="R60" s="41">
        <f t="shared" si="31"/>
        <v>0</v>
      </c>
      <c r="S60" s="41">
        <f t="shared" si="32"/>
        <v>0</v>
      </c>
      <c r="T60" s="41">
        <f t="shared" si="0"/>
        <v>0</v>
      </c>
      <c r="U60" s="41">
        <f t="shared" si="1"/>
        <v>0</v>
      </c>
      <c r="V60" s="41">
        <f t="shared" si="2"/>
        <v>0</v>
      </c>
      <c r="W60" s="41">
        <f t="shared" si="3"/>
        <v>0</v>
      </c>
      <c r="X60" s="41">
        <f t="shared" si="4"/>
        <v>0</v>
      </c>
      <c r="Y60" s="141"/>
      <c r="Z60" s="43"/>
    </row>
    <row r="61" spans="1:26" x14ac:dyDescent="0.25">
      <c r="A61" s="92" t="s">
        <v>186</v>
      </c>
      <c r="B61" s="85" t="s">
        <v>214</v>
      </c>
      <c r="C61" s="37">
        <f>Datos!C53</f>
        <v>1.275303928793441E-2</v>
      </c>
      <c r="D61" s="37">
        <f>Datos!D53</f>
        <v>3.8995053250978962E-2</v>
      </c>
      <c r="E61" s="37">
        <f>Datos!E53</f>
        <v>1.5941299109918011E-2</v>
      </c>
      <c r="F61" s="37">
        <f>Datos!F53</f>
        <v>4.8743816563723702E-2</v>
      </c>
      <c r="G61" s="37">
        <f>Datos!G53</f>
        <v>2.7498353715506931E-2</v>
      </c>
      <c r="H61" s="37">
        <f>Datos!H53</f>
        <v>8.4081899478263639E-2</v>
      </c>
      <c r="I61" s="37">
        <f>Datos!I53</f>
        <v>3.2081412668091419E-2</v>
      </c>
      <c r="J61" s="37">
        <f>Datos!J53</f>
        <v>9.8095549391307588E-2</v>
      </c>
      <c r="K61" s="37">
        <f>Datos!K53</f>
        <v>3.6664471620675911E-2</v>
      </c>
      <c r="L61" s="37">
        <f>Datos!L53</f>
        <v>0.11210919930435154</v>
      </c>
      <c r="M61" s="144">
        <v>2500</v>
      </c>
      <c r="N61" s="144">
        <v>1</v>
      </c>
      <c r="O61" s="41">
        <f t="shared" si="28"/>
        <v>97.48763312744741</v>
      </c>
      <c r="P61" s="41">
        <f t="shared" si="29"/>
        <v>121.85954140930926</v>
      </c>
      <c r="Q61" s="41">
        <f t="shared" si="30"/>
        <v>210.20474869565911</v>
      </c>
      <c r="R61" s="41">
        <f t="shared" si="31"/>
        <v>245.23887347826897</v>
      </c>
      <c r="S61" s="41">
        <f t="shared" si="32"/>
        <v>280.27299826087886</v>
      </c>
      <c r="T61" s="41">
        <f t="shared" si="0"/>
        <v>97.48763312744741</v>
      </c>
      <c r="U61" s="41">
        <f t="shared" si="1"/>
        <v>121.85954140930926</v>
      </c>
      <c r="V61" s="41">
        <f t="shared" si="2"/>
        <v>210.20474869565911</v>
      </c>
      <c r="W61" s="41">
        <f t="shared" si="3"/>
        <v>245.23887347826897</v>
      </c>
      <c r="X61" s="41">
        <f t="shared" si="4"/>
        <v>280.27299826087886</v>
      </c>
      <c r="Y61" s="140" t="s">
        <v>213</v>
      </c>
      <c r="Z61" s="43"/>
    </row>
    <row r="62" spans="1:26" x14ac:dyDescent="0.25">
      <c r="A62" s="92" t="s">
        <v>39</v>
      </c>
      <c r="B62" s="85" t="s">
        <v>214</v>
      </c>
      <c r="C62" s="37">
        <f>Datos!C54</f>
        <v>1.3060539347216366E-2</v>
      </c>
      <c r="D62" s="37">
        <f>Datos!D54</f>
        <v>2.5342670549338638E-2</v>
      </c>
      <c r="E62" s="37">
        <f>Datos!E54</f>
        <v>1.6325674184020457E-2</v>
      </c>
      <c r="F62" s="37">
        <f>Datos!F54</f>
        <v>3.1678338186673295E-2</v>
      </c>
      <c r="G62" s="37">
        <f>Datos!G54</f>
        <v>4.6052327221534919E-2</v>
      </c>
      <c r="H62" s="37">
        <f>Datos!H54</f>
        <v>8.9359935740666363E-2</v>
      </c>
      <c r="I62" s="37">
        <f>Datos!I54</f>
        <v>8.8288764449473867E-2</v>
      </c>
      <c r="J62" s="37">
        <f>Datos!J54</f>
        <v>0.17131551853775909</v>
      </c>
      <c r="K62" s="37">
        <f>Datos!K54</f>
        <v>0.10090144508511299</v>
      </c>
      <c r="L62" s="37">
        <f>Datos!L54</f>
        <v>0.19578916404315322</v>
      </c>
      <c r="M62" s="144">
        <v>2500</v>
      </c>
      <c r="N62" s="144">
        <v>1</v>
      </c>
      <c r="O62" s="41">
        <f t="shared" si="28"/>
        <v>63.356676373346595</v>
      </c>
      <c r="P62" s="41">
        <f t="shared" si="29"/>
        <v>79.195845466683238</v>
      </c>
      <c r="Q62" s="41">
        <f t="shared" si="30"/>
        <v>223.39983935166592</v>
      </c>
      <c r="R62" s="41">
        <f t="shared" si="31"/>
        <v>428.28879634439772</v>
      </c>
      <c r="S62" s="41">
        <f t="shared" si="32"/>
        <v>489.47291010788302</v>
      </c>
      <c r="T62" s="41">
        <f t="shared" si="0"/>
        <v>63.356676373346595</v>
      </c>
      <c r="U62" s="41">
        <f t="shared" si="1"/>
        <v>79.195845466683238</v>
      </c>
      <c r="V62" s="41">
        <f t="shared" si="2"/>
        <v>223.39983935166592</v>
      </c>
      <c r="W62" s="41">
        <f t="shared" si="3"/>
        <v>428.28879634439772</v>
      </c>
      <c r="X62" s="41">
        <f t="shared" si="4"/>
        <v>489.47291010788302</v>
      </c>
      <c r="Y62" s="140" t="s">
        <v>213</v>
      </c>
      <c r="Z62" s="43"/>
    </row>
    <row r="63" spans="1:26" x14ac:dyDescent="0.25">
      <c r="A63" s="170" t="s">
        <v>40</v>
      </c>
      <c r="B63" s="171"/>
      <c r="C63" s="37">
        <f>Datos!C55</f>
        <v>0</v>
      </c>
      <c r="D63" s="37">
        <f>Datos!D55</f>
        <v>0</v>
      </c>
      <c r="E63" s="37">
        <f>Datos!E55</f>
        <v>0</v>
      </c>
      <c r="F63" s="37">
        <f>Datos!F55</f>
        <v>0</v>
      </c>
      <c r="G63" s="37">
        <f>Datos!G55</f>
        <v>0</v>
      </c>
      <c r="H63" s="37">
        <f>Datos!H55</f>
        <v>0</v>
      </c>
      <c r="I63" s="37">
        <f>Datos!I55</f>
        <v>0</v>
      </c>
      <c r="J63" s="37">
        <f>Datos!J55</f>
        <v>0</v>
      </c>
      <c r="K63" s="37">
        <f>Datos!K55</f>
        <v>0</v>
      </c>
      <c r="L63" s="37">
        <f>Datos!L55</f>
        <v>0</v>
      </c>
      <c r="M63" s="144">
        <v>2500</v>
      </c>
      <c r="N63" s="144">
        <v>1</v>
      </c>
      <c r="O63" s="41">
        <f t="shared" si="28"/>
        <v>0</v>
      </c>
      <c r="P63" s="41">
        <f t="shared" si="29"/>
        <v>0</v>
      </c>
      <c r="Q63" s="41">
        <f t="shared" si="30"/>
        <v>0</v>
      </c>
      <c r="R63" s="41">
        <f t="shared" si="31"/>
        <v>0</v>
      </c>
      <c r="S63" s="41">
        <f t="shared" si="32"/>
        <v>0</v>
      </c>
      <c r="T63" s="41">
        <f t="shared" si="0"/>
        <v>0</v>
      </c>
      <c r="U63" s="41">
        <f t="shared" si="1"/>
        <v>0</v>
      </c>
      <c r="V63" s="41">
        <f t="shared" si="2"/>
        <v>0</v>
      </c>
      <c r="W63" s="41">
        <f t="shared" si="3"/>
        <v>0</v>
      </c>
      <c r="X63" s="41">
        <f t="shared" si="4"/>
        <v>0</v>
      </c>
      <c r="Y63" s="141"/>
      <c r="Z63" s="43"/>
    </row>
    <row r="64" spans="1:26" x14ac:dyDescent="0.25">
      <c r="A64" s="170" t="s">
        <v>41</v>
      </c>
      <c r="B64" s="171"/>
      <c r="C64" s="37">
        <f>Datos!C56</f>
        <v>0</v>
      </c>
      <c r="D64" s="37">
        <f>Datos!D56</f>
        <v>0</v>
      </c>
      <c r="E64" s="37">
        <f>Datos!E56</f>
        <v>0</v>
      </c>
      <c r="F64" s="37">
        <f>Datos!F56</f>
        <v>0</v>
      </c>
      <c r="G64" s="37">
        <f>Datos!G56</f>
        <v>0</v>
      </c>
      <c r="H64" s="37">
        <f>Datos!H56</f>
        <v>0</v>
      </c>
      <c r="I64" s="37">
        <f>Datos!I56</f>
        <v>0</v>
      </c>
      <c r="J64" s="37">
        <f>Datos!J56</f>
        <v>0</v>
      </c>
      <c r="K64" s="37">
        <f>Datos!K56</f>
        <v>0</v>
      </c>
      <c r="L64" s="37">
        <f>Datos!L56</f>
        <v>0</v>
      </c>
      <c r="M64" s="144">
        <v>2500</v>
      </c>
      <c r="N64" s="144">
        <v>1</v>
      </c>
      <c r="O64" s="41">
        <f t="shared" si="28"/>
        <v>0</v>
      </c>
      <c r="P64" s="41">
        <f t="shared" si="29"/>
        <v>0</v>
      </c>
      <c r="Q64" s="41">
        <f t="shared" si="30"/>
        <v>0</v>
      </c>
      <c r="R64" s="41">
        <f t="shared" si="31"/>
        <v>0</v>
      </c>
      <c r="S64" s="41">
        <f t="shared" si="32"/>
        <v>0</v>
      </c>
      <c r="T64" s="41">
        <f t="shared" si="0"/>
        <v>0</v>
      </c>
      <c r="U64" s="41">
        <f t="shared" si="1"/>
        <v>0</v>
      </c>
      <c r="V64" s="41">
        <f t="shared" si="2"/>
        <v>0</v>
      </c>
      <c r="W64" s="41">
        <f t="shared" si="3"/>
        <v>0</v>
      </c>
      <c r="X64" s="41">
        <f t="shared" si="4"/>
        <v>0</v>
      </c>
      <c r="Y64" s="141"/>
      <c r="Z64" s="43"/>
    </row>
    <row r="65" spans="1:26" x14ac:dyDescent="0.25">
      <c r="A65" s="39" t="s">
        <v>42</v>
      </c>
      <c r="B65" s="96" t="s">
        <v>218</v>
      </c>
      <c r="C65" s="37">
        <f>Datos!C57</f>
        <v>4.8500000000000001E-2</v>
      </c>
      <c r="D65" s="37">
        <f>Datos!D57</f>
        <v>6.1570345833333325E-2</v>
      </c>
      <c r="E65" s="37">
        <f>Datos!E57</f>
        <v>6.0624999999999991E-2</v>
      </c>
      <c r="F65" s="37">
        <f>Datos!F57</f>
        <v>7.6962932291666661E-2</v>
      </c>
      <c r="G65" s="37">
        <f>Datos!G57</f>
        <v>7.2749999999999995E-2</v>
      </c>
      <c r="H65" s="37">
        <f>Datos!H57</f>
        <v>9.235551874999999E-2</v>
      </c>
      <c r="I65" s="37">
        <f>Datos!I57</f>
        <v>8.4875000000000006E-2</v>
      </c>
      <c r="J65" s="37">
        <f>Datos!J57</f>
        <v>0.10774810520833335</v>
      </c>
      <c r="K65" s="37">
        <f>Datos!K57</f>
        <v>9.7000000000000003E-2</v>
      </c>
      <c r="L65" s="37">
        <f>Datos!L57</f>
        <v>0.12314069166666665</v>
      </c>
      <c r="M65" s="144">
        <v>2500</v>
      </c>
      <c r="N65" s="144">
        <v>1</v>
      </c>
      <c r="O65" s="41">
        <f t="shared" si="28"/>
        <v>153.92586458333332</v>
      </c>
      <c r="P65" s="41">
        <f t="shared" si="29"/>
        <v>192.40733072916666</v>
      </c>
      <c r="Q65" s="41">
        <f t="shared" si="30"/>
        <v>230.88879687499997</v>
      </c>
      <c r="R65" s="41">
        <f t="shared" si="31"/>
        <v>269.37026302083336</v>
      </c>
      <c r="S65" s="41">
        <f t="shared" si="32"/>
        <v>307.85172916666664</v>
      </c>
      <c r="T65" s="41">
        <f t="shared" si="0"/>
        <v>153.92586458333332</v>
      </c>
      <c r="U65" s="41">
        <f t="shared" si="1"/>
        <v>192.40733072916666</v>
      </c>
      <c r="V65" s="41">
        <f t="shared" si="2"/>
        <v>230.88879687499997</v>
      </c>
      <c r="W65" s="41">
        <f t="shared" si="3"/>
        <v>269.37026302083336</v>
      </c>
      <c r="X65" s="41">
        <f t="shared" si="4"/>
        <v>307.85172916666664</v>
      </c>
      <c r="Y65" s="139" t="s">
        <v>130</v>
      </c>
      <c r="Z65" s="43" t="s">
        <v>148</v>
      </c>
    </row>
    <row r="66" spans="1:26" x14ac:dyDescent="0.25">
      <c r="A66" s="93" t="s">
        <v>42</v>
      </c>
      <c r="B66" s="85" t="s">
        <v>214</v>
      </c>
      <c r="C66" s="37">
        <f>Datos!C58</f>
        <v>2.0911777452768961E-2</v>
      </c>
      <c r="D66" s="37">
        <f>Datos!D58</f>
        <v>2.6547327211478084E-2</v>
      </c>
      <c r="E66" s="37">
        <f>Datos!E58</f>
        <v>5.3836633176261334E-2</v>
      </c>
      <c r="F66" s="37">
        <f>Datos!F58</f>
        <v>6.8345157178653956E-2</v>
      </c>
      <c r="G66" s="37">
        <f>Datos!G58</f>
        <v>0.10661669545555842</v>
      </c>
      <c r="H66" s="37">
        <f>Datos!H58</f>
        <v>0.13534900640836928</v>
      </c>
      <c r="I66" s="37">
        <f>Datos!I58</f>
        <v>0.12438614469815149</v>
      </c>
      <c r="J66" s="37">
        <f>Datos!J58</f>
        <v>0.15790717414309749</v>
      </c>
      <c r="K66" s="37">
        <f>Datos!K58</f>
        <v>0.14215559394074456</v>
      </c>
      <c r="L66" s="37">
        <f>Datos!L58</f>
        <v>0.1804653418778257</v>
      </c>
      <c r="M66" s="144">
        <v>2500</v>
      </c>
      <c r="N66" s="144">
        <v>1</v>
      </c>
      <c r="O66" s="41">
        <f t="shared" si="28"/>
        <v>66.368318028695214</v>
      </c>
      <c r="P66" s="41">
        <f t="shared" si="29"/>
        <v>170.8628929466349</v>
      </c>
      <c r="Q66" s="41">
        <f t="shared" si="30"/>
        <v>338.37251602092317</v>
      </c>
      <c r="R66" s="41">
        <f t="shared" si="31"/>
        <v>394.76793535774374</v>
      </c>
      <c r="S66" s="41">
        <f t="shared" si="32"/>
        <v>451.16335469456425</v>
      </c>
      <c r="T66" s="41">
        <f t="shared" si="0"/>
        <v>66.368318028695214</v>
      </c>
      <c r="U66" s="41">
        <f t="shared" si="1"/>
        <v>170.8628929466349</v>
      </c>
      <c r="V66" s="41">
        <f t="shared" si="2"/>
        <v>338.37251602092317</v>
      </c>
      <c r="W66" s="41">
        <f t="shared" si="3"/>
        <v>394.76793535774374</v>
      </c>
      <c r="X66" s="41">
        <f t="shared" si="4"/>
        <v>451.16335469456425</v>
      </c>
      <c r="Y66" s="140" t="s">
        <v>213</v>
      </c>
      <c r="Z66" s="43"/>
    </row>
    <row r="67" spans="1:26" s="4" customFormat="1" x14ac:dyDescent="0.25">
      <c r="A67" s="180"/>
      <c r="B67" s="95"/>
      <c r="C67" s="37">
        <f>C66</f>
        <v>2.0911777452768961E-2</v>
      </c>
      <c r="D67" s="37">
        <f t="shared" ref="D67:L67" si="33">D66</f>
        <v>2.6547327211478084E-2</v>
      </c>
      <c r="E67" s="37">
        <f t="shared" si="33"/>
        <v>5.3836633176261334E-2</v>
      </c>
      <c r="F67" s="37">
        <f t="shared" si="33"/>
        <v>6.8345157178653956E-2</v>
      </c>
      <c r="G67" s="37">
        <f t="shared" si="33"/>
        <v>0.10661669545555842</v>
      </c>
      <c r="H67" s="37">
        <f t="shared" si="33"/>
        <v>0.13534900640836928</v>
      </c>
      <c r="I67" s="37">
        <f t="shared" si="33"/>
        <v>0.12438614469815149</v>
      </c>
      <c r="J67" s="37">
        <f t="shared" si="33"/>
        <v>0.15790717414309749</v>
      </c>
      <c r="K67" s="37">
        <f t="shared" si="33"/>
        <v>0.14215559394074456</v>
      </c>
      <c r="L67" s="37">
        <f t="shared" si="33"/>
        <v>0.1804653418778257</v>
      </c>
      <c r="M67" s="166"/>
      <c r="N67" s="166"/>
      <c r="O67" s="167"/>
      <c r="P67" s="167"/>
      <c r="Q67" s="167"/>
      <c r="R67" s="167"/>
      <c r="S67" s="167"/>
      <c r="T67" s="167"/>
      <c r="U67" s="167"/>
      <c r="V67" s="167"/>
      <c r="W67" s="167"/>
      <c r="X67" s="167"/>
      <c r="Y67" s="168"/>
      <c r="Z67" s="169"/>
    </row>
    <row r="68" spans="1:26" x14ac:dyDescent="0.25">
      <c r="A68" s="38" t="s">
        <v>43</v>
      </c>
      <c r="B68" s="88" t="s">
        <v>243</v>
      </c>
      <c r="C68" s="37">
        <f>Datos!C59</f>
        <v>0</v>
      </c>
      <c r="D68" s="37">
        <f>Datos!D59</f>
        <v>0</v>
      </c>
      <c r="E68" s="37">
        <f>Datos!E59</f>
        <v>0</v>
      </c>
      <c r="F68" s="37">
        <f>Datos!F59</f>
        <v>5.7257669413919412E-3</v>
      </c>
      <c r="G68" s="37">
        <f>Datos!G59</f>
        <v>0</v>
      </c>
      <c r="H68" s="37">
        <f>Datos!H59</f>
        <v>1.6673433333333335E-2</v>
      </c>
      <c r="I68" s="37">
        <f>Datos!I59</f>
        <v>0</v>
      </c>
      <c r="J68" s="37">
        <f>Datos!J59</f>
        <v>3.6539242599000384E-2</v>
      </c>
      <c r="K68" s="37">
        <f>Datos!K59</f>
        <v>0</v>
      </c>
      <c r="L68" s="37">
        <f>Datos!L59</f>
        <v>7.085028328611899E-2</v>
      </c>
      <c r="M68" s="144">
        <v>2500</v>
      </c>
      <c r="N68" s="144">
        <v>1</v>
      </c>
      <c r="O68" s="41">
        <f>D68*M68</f>
        <v>0</v>
      </c>
      <c r="P68" s="41">
        <f>F68*M68</f>
        <v>14.314417353479852</v>
      </c>
      <c r="Q68" s="41">
        <f>H68*M68</f>
        <v>41.683583333333338</v>
      </c>
      <c r="R68" s="41">
        <f>J68*M68</f>
        <v>91.348106497500964</v>
      </c>
      <c r="S68" s="41">
        <f>L68*M68</f>
        <v>177.12570821529746</v>
      </c>
      <c r="T68" s="41">
        <f t="shared" si="0"/>
        <v>0</v>
      </c>
      <c r="U68" s="41">
        <f t="shared" si="1"/>
        <v>14.314417353479852</v>
      </c>
      <c r="V68" s="41">
        <f t="shared" si="2"/>
        <v>41.683583333333338</v>
      </c>
      <c r="W68" s="41">
        <f t="shared" si="3"/>
        <v>91.348106497500964</v>
      </c>
      <c r="X68" s="41">
        <f t="shared" si="4"/>
        <v>177.12570821529746</v>
      </c>
      <c r="Y68" s="140"/>
      <c r="Z68" s="43"/>
    </row>
    <row r="69" spans="1:26" x14ac:dyDescent="0.25">
      <c r="A69" s="39" t="s">
        <v>43</v>
      </c>
      <c r="B69" s="96" t="s">
        <v>218</v>
      </c>
      <c r="C69" s="37">
        <f>Datos!C60</f>
        <v>3.8799999999999994E-2</v>
      </c>
      <c r="D69" s="37">
        <f>Datos!D60</f>
        <v>6.4692921333333334E-2</v>
      </c>
      <c r="E69" s="37">
        <f>Datos!E60</f>
        <v>4.8500000000000001E-2</v>
      </c>
      <c r="F69" s="37">
        <f>Datos!F60</f>
        <v>8.086615166666665E-2</v>
      </c>
      <c r="G69" s="37">
        <f>Datos!G60</f>
        <v>5.8199999999999995E-2</v>
      </c>
      <c r="H69" s="37">
        <f>Datos!H60</f>
        <v>9.7039382000000007E-2</v>
      </c>
      <c r="I69" s="37">
        <f>Datos!I60</f>
        <v>6.7899999999999988E-2</v>
      </c>
      <c r="J69" s="37">
        <f>Datos!J60</f>
        <v>0.11321261233333332</v>
      </c>
      <c r="K69" s="37">
        <f>Datos!K60</f>
        <v>0.12938584266666667</v>
      </c>
      <c r="L69" s="37">
        <f>Datos!L60</f>
        <v>7.7599999999999988E-2</v>
      </c>
      <c r="M69" s="144">
        <v>2500</v>
      </c>
      <c r="N69" s="144">
        <v>1</v>
      </c>
      <c r="O69" s="41">
        <f>D69*M69</f>
        <v>161.73230333333333</v>
      </c>
      <c r="P69" s="41">
        <f>F69*M69</f>
        <v>202.16537916666661</v>
      </c>
      <c r="Q69" s="41">
        <f>H69*M69</f>
        <v>242.59845500000003</v>
      </c>
      <c r="R69" s="41">
        <f>J69*M69</f>
        <v>283.03153083333331</v>
      </c>
      <c r="S69" s="41">
        <f>L69*M69</f>
        <v>193.99999999999997</v>
      </c>
      <c r="T69" s="41">
        <f t="shared" si="0"/>
        <v>161.73230333333333</v>
      </c>
      <c r="U69" s="41">
        <f t="shared" si="1"/>
        <v>202.16537916666661</v>
      </c>
      <c r="V69" s="41">
        <f t="shared" si="2"/>
        <v>242.59845500000003</v>
      </c>
      <c r="W69" s="41">
        <f t="shared" si="3"/>
        <v>283.03153083333331</v>
      </c>
      <c r="X69" s="41">
        <f t="shared" si="4"/>
        <v>193.99999999999997</v>
      </c>
      <c r="Y69" s="139" t="s">
        <v>130</v>
      </c>
      <c r="Z69" s="43" t="s">
        <v>131</v>
      </c>
    </row>
    <row r="70" spans="1:26" x14ac:dyDescent="0.25">
      <c r="A70" s="93" t="s">
        <v>43</v>
      </c>
      <c r="B70" s="85" t="s">
        <v>214</v>
      </c>
      <c r="C70" s="187">
        <f>Datos!C61</f>
        <v>1.8469139953884307E-2</v>
      </c>
      <c r="D70" s="187">
        <f>Datos!D61</f>
        <v>3.079439737450931E-2</v>
      </c>
      <c r="E70" s="187">
        <f>Datos!E61</f>
        <v>2.3086424942355382E-2</v>
      </c>
      <c r="F70" s="187">
        <f>Datos!F61</f>
        <v>3.8492996718136628E-2</v>
      </c>
      <c r="G70" s="187">
        <f>Datos!G61</f>
        <v>4.9293523056054722E-2</v>
      </c>
      <c r="H70" s="187">
        <f>Datos!H61</f>
        <v>8.21892270440258E-2</v>
      </c>
      <c r="I70" s="187">
        <f>Datos!I61</f>
        <v>4.4133364500346293E-2</v>
      </c>
      <c r="J70" s="187">
        <f>Datos!J61</f>
        <v>0.1375600979341646</v>
      </c>
      <c r="K70" s="187">
        <f>Datos!K61</f>
        <v>9.4288643108610765E-2</v>
      </c>
      <c r="L70" s="187">
        <f>Datos!L61</f>
        <v>0.15721154049618813</v>
      </c>
      <c r="M70" s="144">
        <v>2500</v>
      </c>
      <c r="N70" s="144">
        <v>1</v>
      </c>
      <c r="O70" s="41">
        <f>D70*M70</f>
        <v>76.985993436273276</v>
      </c>
      <c r="P70" s="41">
        <f>F70*M70</f>
        <v>96.232491795341573</v>
      </c>
      <c r="Q70" s="41">
        <f>H70*M70</f>
        <v>205.4730676100645</v>
      </c>
      <c r="R70" s="41">
        <f>J70*M70</f>
        <v>343.90024483541151</v>
      </c>
      <c r="S70" s="41">
        <f>L70*M70</f>
        <v>393.02885124047032</v>
      </c>
      <c r="T70" s="41">
        <f t="shared" si="0"/>
        <v>76.985993436273276</v>
      </c>
      <c r="U70" s="41">
        <f t="shared" si="1"/>
        <v>96.232491795341573</v>
      </c>
      <c r="V70" s="41">
        <f t="shared" si="2"/>
        <v>205.4730676100645</v>
      </c>
      <c r="W70" s="41">
        <f t="shared" si="3"/>
        <v>343.90024483541151</v>
      </c>
      <c r="X70" s="41">
        <f t="shared" si="4"/>
        <v>393.02885124047032</v>
      </c>
      <c r="Y70" s="140" t="s">
        <v>213</v>
      </c>
      <c r="Z70" s="43"/>
    </row>
    <row r="71" spans="1:26" x14ac:dyDescent="0.25">
      <c r="A71" s="136" t="s">
        <v>43</v>
      </c>
      <c r="B71" s="135"/>
      <c r="C71" s="37">
        <f>Datos!C62</f>
        <v>0</v>
      </c>
      <c r="D71" s="37">
        <f>Datos!D62</f>
        <v>2.0321507946666668E-2</v>
      </c>
      <c r="E71" s="37">
        <f>Datos!E62</f>
        <v>0</v>
      </c>
      <c r="F71" s="37">
        <f>Datos!F62</f>
        <v>2.666379298E-2</v>
      </c>
      <c r="G71" s="37">
        <f>Datos!G62</f>
        <v>0</v>
      </c>
      <c r="H71" s="37">
        <f>Datos!H62</f>
        <v>4.0266540526666651E-2</v>
      </c>
      <c r="I71" s="37">
        <f>Datos!I62</f>
        <v>0</v>
      </c>
      <c r="J71" s="37">
        <f>Datos!J62</f>
        <v>6.1635670506666677E-2</v>
      </c>
      <c r="K71" s="37">
        <f>Datos!K62</f>
        <v>0</v>
      </c>
      <c r="L71" s="37">
        <f>Datos!L62</f>
        <v>9.3176129566666682E-2</v>
      </c>
      <c r="M71" s="144">
        <v>2500</v>
      </c>
      <c r="N71" s="144">
        <v>1</v>
      </c>
      <c r="O71" s="41">
        <f>D71*M71</f>
        <v>50.80376986666667</v>
      </c>
      <c r="P71" s="41">
        <f>F71*M71</f>
        <v>66.659482449999999</v>
      </c>
      <c r="Q71" s="41">
        <f>H71*M71</f>
        <v>100.66635131666663</v>
      </c>
      <c r="R71" s="41">
        <f>J71*M71</f>
        <v>154.0891762666667</v>
      </c>
      <c r="S71" s="41">
        <f>L71*M71</f>
        <v>232.9403239166667</v>
      </c>
      <c r="T71" s="41">
        <f t="shared" si="0"/>
        <v>50.80376986666667</v>
      </c>
      <c r="U71" s="41">
        <f t="shared" si="1"/>
        <v>66.659482449999999</v>
      </c>
      <c r="V71" s="41">
        <f t="shared" si="2"/>
        <v>100.66635131666663</v>
      </c>
      <c r="W71" s="41">
        <f t="shared" si="3"/>
        <v>154.0891762666667</v>
      </c>
      <c r="X71" s="41">
        <f t="shared" si="4"/>
        <v>232.9403239166667</v>
      </c>
      <c r="Y71" s="142" t="s">
        <v>85</v>
      </c>
      <c r="Z71" s="43"/>
    </row>
    <row r="72" spans="1:26" s="4" customFormat="1" x14ac:dyDescent="0.25">
      <c r="A72" s="189"/>
      <c r="B72" s="95"/>
      <c r="C72" s="37">
        <f>C70</f>
        <v>1.8469139953884307E-2</v>
      </c>
      <c r="D72" s="37">
        <f t="shared" ref="D72:L72" si="34">D70</f>
        <v>3.079439737450931E-2</v>
      </c>
      <c r="E72" s="37">
        <f t="shared" si="34"/>
        <v>2.3086424942355382E-2</v>
      </c>
      <c r="F72" s="37">
        <f t="shared" si="34"/>
        <v>3.8492996718136628E-2</v>
      </c>
      <c r="G72" s="37">
        <f t="shared" si="34"/>
        <v>4.9293523056054722E-2</v>
      </c>
      <c r="H72" s="37">
        <f t="shared" si="34"/>
        <v>8.21892270440258E-2</v>
      </c>
      <c r="I72" s="37">
        <f t="shared" si="34"/>
        <v>4.4133364500346293E-2</v>
      </c>
      <c r="J72" s="37">
        <f t="shared" si="34"/>
        <v>0.1375600979341646</v>
      </c>
      <c r="K72" s="37">
        <f t="shared" si="34"/>
        <v>9.4288643108610765E-2</v>
      </c>
      <c r="L72" s="37">
        <f t="shared" si="34"/>
        <v>0.15721154049618813</v>
      </c>
      <c r="M72" s="166"/>
      <c r="N72" s="166"/>
      <c r="O72" s="167"/>
      <c r="P72" s="167"/>
      <c r="Q72" s="167"/>
      <c r="R72" s="167"/>
      <c r="S72" s="167"/>
      <c r="T72" s="167"/>
      <c r="U72" s="167"/>
      <c r="V72" s="167"/>
      <c r="W72" s="167"/>
      <c r="X72" s="167"/>
      <c r="Y72" s="185"/>
      <c r="Z72" s="169"/>
    </row>
    <row r="73" spans="1:26" x14ac:dyDescent="0.25">
      <c r="A73" s="190" t="s">
        <v>44</v>
      </c>
      <c r="B73" s="88" t="s">
        <v>94</v>
      </c>
      <c r="C73" s="37">
        <f>Datos!C63</f>
        <v>5.2527131782945741E-2</v>
      </c>
      <c r="D73" s="37">
        <f>Datos!D63</f>
        <v>3.4157697129970299E-2</v>
      </c>
      <c r="E73" s="37">
        <f>Datos!E63</f>
        <v>6.6000000000000003E-2</v>
      </c>
      <c r="F73" s="37">
        <f>Datos!F63</f>
        <v>4.2697121412462874E-2</v>
      </c>
      <c r="G73" s="37">
        <f>Datos!G63</f>
        <v>7.8790697674418611E-2</v>
      </c>
      <c r="H73" s="37">
        <f>Datos!H63</f>
        <v>5.1236545694955449E-2</v>
      </c>
      <c r="I73" s="37">
        <f>Datos!I63</f>
        <v>0.106</v>
      </c>
      <c r="J73" s="37">
        <f>Datos!J63</f>
        <v>0.10884537979242993</v>
      </c>
      <c r="K73" s="37">
        <f>Datos!K63</f>
        <v>0.18160469667318982</v>
      </c>
      <c r="L73" s="37">
        <f>Datos!L63</f>
        <v>0.12636076078387784</v>
      </c>
      <c r="M73" s="144">
        <v>2500</v>
      </c>
      <c r="N73" s="144">
        <v>1</v>
      </c>
      <c r="O73" s="41">
        <f>D73*M73</f>
        <v>85.394242824925755</v>
      </c>
      <c r="P73" s="41">
        <f>F73*M73</f>
        <v>106.74280353115718</v>
      </c>
      <c r="Q73" s="41">
        <f>H73*M73</f>
        <v>128.09136423738863</v>
      </c>
      <c r="R73" s="41">
        <f>J73*M73</f>
        <v>272.11344948107484</v>
      </c>
      <c r="S73" s="41">
        <f>L73*M73</f>
        <v>315.90190195969461</v>
      </c>
      <c r="T73" s="41">
        <f t="shared" si="0"/>
        <v>85.394242824925755</v>
      </c>
      <c r="U73" s="41">
        <f t="shared" si="1"/>
        <v>106.74280353115718</v>
      </c>
      <c r="V73" s="41">
        <f t="shared" si="2"/>
        <v>128.09136423738863</v>
      </c>
      <c r="W73" s="41">
        <f t="shared" si="3"/>
        <v>272.11344948107484</v>
      </c>
      <c r="X73" s="41">
        <f t="shared" si="4"/>
        <v>315.90190195969461</v>
      </c>
      <c r="Y73" s="28" t="s">
        <v>81</v>
      </c>
      <c r="Z73" s="43" t="s">
        <v>121</v>
      </c>
    </row>
    <row r="74" spans="1:26" x14ac:dyDescent="0.25">
      <c r="A74" s="39" t="s">
        <v>44</v>
      </c>
      <c r="B74" s="96" t="s">
        <v>218</v>
      </c>
      <c r="C74" s="37">
        <f>Datos!C64</f>
        <v>4.3999999999999997E-2</v>
      </c>
      <c r="D74" s="37">
        <f>Datos!D64</f>
        <v>6.4017066666666664E-2</v>
      </c>
      <c r="E74" s="37">
        <f>Datos!E64</f>
        <v>5.5000000000000007E-2</v>
      </c>
      <c r="F74" s="37">
        <f>Datos!F64</f>
        <v>8.0021333333333347E-2</v>
      </c>
      <c r="G74" s="37">
        <f>Datos!G64</f>
        <v>6.6000000000000003E-2</v>
      </c>
      <c r="H74" s="37">
        <f>Datos!H64</f>
        <v>9.6025599999999989E-2</v>
      </c>
      <c r="I74" s="37">
        <f>Datos!I64</f>
        <v>7.6999999999999999E-2</v>
      </c>
      <c r="J74" s="37">
        <f>Datos!J64</f>
        <v>0.11202986666666667</v>
      </c>
      <c r="K74" s="37">
        <f>Datos!K64</f>
        <v>8.7999999999999995E-2</v>
      </c>
      <c r="L74" s="37">
        <f>Datos!L64</f>
        <v>0.12803413333333333</v>
      </c>
      <c r="M74" s="144">
        <v>2500</v>
      </c>
      <c r="N74" s="144">
        <v>1</v>
      </c>
      <c r="O74" s="41">
        <f>D74*M74</f>
        <v>160.04266666666666</v>
      </c>
      <c r="P74" s="41">
        <f>F74*M74</f>
        <v>200.05333333333337</v>
      </c>
      <c r="Q74" s="41">
        <f>H74*M74</f>
        <v>240.06399999999996</v>
      </c>
      <c r="R74" s="41">
        <f>J74*M74</f>
        <v>280.0746666666667</v>
      </c>
      <c r="S74" s="41">
        <f>L74*M74</f>
        <v>320.08533333333332</v>
      </c>
      <c r="T74" s="41">
        <f t="shared" si="0"/>
        <v>160.04266666666666</v>
      </c>
      <c r="U74" s="41">
        <f t="shared" si="1"/>
        <v>200.05333333333337</v>
      </c>
      <c r="V74" s="41">
        <f t="shared" si="2"/>
        <v>240.06399999999996</v>
      </c>
      <c r="W74" s="41">
        <f t="shared" si="3"/>
        <v>280.0746666666667</v>
      </c>
      <c r="X74" s="41">
        <f t="shared" si="4"/>
        <v>320.08533333333332</v>
      </c>
      <c r="Y74" s="139" t="s">
        <v>130</v>
      </c>
      <c r="Z74" s="43" t="s">
        <v>131</v>
      </c>
    </row>
    <row r="75" spans="1:26" x14ac:dyDescent="0.25">
      <c r="A75" s="93" t="s">
        <v>44</v>
      </c>
      <c r="B75" s="85" t="s">
        <v>214</v>
      </c>
      <c r="C75" s="37">
        <f>Datos!C65</f>
        <v>1.7920503247184628E-2</v>
      </c>
      <c r="D75" s="37">
        <f>Datos!D65</f>
        <v>2.6073137524437157E-2</v>
      </c>
      <c r="E75" s="37">
        <f>Datos!E65</f>
        <v>2.2400629058980784E-2</v>
      </c>
      <c r="F75" s="37">
        <f>Datos!F65</f>
        <v>3.2591421905546439E-2</v>
      </c>
      <c r="G75" s="37">
        <f>Datos!G65</f>
        <v>5.4433981189938044E-2</v>
      </c>
      <c r="H75" s="37">
        <f>Datos!H65</f>
        <v>7.9197813699280514E-2</v>
      </c>
      <c r="I75" s="37">
        <f>Datos!I65</f>
        <v>6.3506311388261058E-2</v>
      </c>
      <c r="J75" s="37">
        <f>Datos!J65</f>
        <v>9.2397449315827287E-2</v>
      </c>
      <c r="K75" s="37">
        <f>Datos!K65</f>
        <v>7.2578641586584058E-2</v>
      </c>
      <c r="L75" s="37">
        <f>Datos!L65</f>
        <v>0.10559708493237403</v>
      </c>
      <c r="M75" s="144">
        <v>2500</v>
      </c>
      <c r="N75" s="144">
        <v>1</v>
      </c>
      <c r="O75" s="41">
        <f>D75*M75</f>
        <v>65.182843811092894</v>
      </c>
      <c r="P75" s="41">
        <f>F75*M75</f>
        <v>81.4785547638661</v>
      </c>
      <c r="Q75" s="41">
        <f>H75*M75</f>
        <v>197.99453424820129</v>
      </c>
      <c r="R75" s="41">
        <f>J75*M75</f>
        <v>230.99362328956821</v>
      </c>
      <c r="S75" s="41">
        <f>L75*M75</f>
        <v>263.99271233093509</v>
      </c>
      <c r="T75" s="41">
        <f t="shared" si="0"/>
        <v>65.182843811092894</v>
      </c>
      <c r="U75" s="41">
        <f t="shared" si="1"/>
        <v>81.4785547638661</v>
      </c>
      <c r="V75" s="41">
        <f t="shared" si="2"/>
        <v>197.99453424820129</v>
      </c>
      <c r="W75" s="41">
        <f t="shared" si="3"/>
        <v>230.99362328956821</v>
      </c>
      <c r="X75" s="41">
        <f t="shared" si="4"/>
        <v>263.99271233093509</v>
      </c>
      <c r="Y75" s="140" t="s">
        <v>213</v>
      </c>
      <c r="Z75" s="43"/>
    </row>
    <row r="76" spans="1:26" x14ac:dyDescent="0.25">
      <c r="A76" s="136" t="s">
        <v>44</v>
      </c>
      <c r="B76" s="135"/>
      <c r="C76" s="37">
        <f>Datos!C66</f>
        <v>0</v>
      </c>
      <c r="D76" s="37">
        <f>Datos!D66</f>
        <v>0.18382044761299327</v>
      </c>
      <c r="E76" s="37">
        <f>Datos!E66</f>
        <v>0</v>
      </c>
      <c r="F76" s="37">
        <f>Datos!F66</f>
        <v>0.34826063882451141</v>
      </c>
      <c r="G76" s="37">
        <f>Datos!G66</f>
        <v>0</v>
      </c>
      <c r="H76" s="37">
        <f>Datos!H66</f>
        <v>0.57646899987068079</v>
      </c>
      <c r="I76" s="37">
        <f>Datos!I66</f>
        <v>0</v>
      </c>
      <c r="J76" s="37">
        <f>Datos!J66</f>
        <v>0.87455170971595497</v>
      </c>
      <c r="K76" s="37">
        <f>Datos!K66</f>
        <v>0</v>
      </c>
      <c r="L76" s="37">
        <f>Datos!L66</f>
        <v>1.2168313571830238</v>
      </c>
      <c r="M76" s="144">
        <v>2500</v>
      </c>
      <c r="N76" s="144">
        <v>1</v>
      </c>
      <c r="O76" s="41">
        <f>D76*M76</f>
        <v>459.55111903248314</v>
      </c>
      <c r="P76" s="41">
        <f>F76*M76</f>
        <v>870.65159706127849</v>
      </c>
      <c r="Q76" s="41">
        <f>H76*M76</f>
        <v>1441.172499676702</v>
      </c>
      <c r="R76" s="41">
        <f>J76*M76</f>
        <v>2186.3792742898872</v>
      </c>
      <c r="S76" s="41">
        <f>L76*M76</f>
        <v>3042.0783929575596</v>
      </c>
      <c r="T76" s="41">
        <f t="shared" si="0"/>
        <v>459.55111903248314</v>
      </c>
      <c r="U76" s="41">
        <f t="shared" si="1"/>
        <v>870.65159706127849</v>
      </c>
      <c r="V76" s="41">
        <f t="shared" si="2"/>
        <v>1441.172499676702</v>
      </c>
      <c r="W76" s="41">
        <f t="shared" si="3"/>
        <v>2186.3792742898872</v>
      </c>
      <c r="X76" s="41">
        <f t="shared" si="4"/>
        <v>3042.0783929575596</v>
      </c>
      <c r="Y76" s="142" t="s">
        <v>85</v>
      </c>
      <c r="Z76" s="43"/>
    </row>
    <row r="77" spans="1:26" s="4" customFormat="1" x14ac:dyDescent="0.25">
      <c r="A77" s="189"/>
      <c r="B77" s="95"/>
      <c r="C77" s="37">
        <f>C73</f>
        <v>5.2527131782945741E-2</v>
      </c>
      <c r="D77" s="37">
        <f>D73</f>
        <v>3.4157697129970299E-2</v>
      </c>
      <c r="E77" s="37">
        <f t="shared" ref="E77:L77" si="35">E73</f>
        <v>6.6000000000000003E-2</v>
      </c>
      <c r="F77" s="37">
        <f t="shared" si="35"/>
        <v>4.2697121412462874E-2</v>
      </c>
      <c r="G77" s="37">
        <f t="shared" si="35"/>
        <v>7.8790697674418611E-2</v>
      </c>
      <c r="H77" s="37">
        <f t="shared" si="35"/>
        <v>5.1236545694955449E-2</v>
      </c>
      <c r="I77" s="37">
        <f t="shared" si="35"/>
        <v>0.106</v>
      </c>
      <c r="J77" s="37">
        <f t="shared" si="35"/>
        <v>0.10884537979242993</v>
      </c>
      <c r="K77" s="37">
        <f t="shared" si="35"/>
        <v>0.18160469667318982</v>
      </c>
      <c r="L77" s="37">
        <f t="shared" si="35"/>
        <v>0.12636076078387784</v>
      </c>
      <c r="M77" s="166"/>
      <c r="N77" s="166"/>
      <c r="O77" s="167"/>
      <c r="P77" s="167"/>
      <c r="Q77" s="167"/>
      <c r="R77" s="167"/>
      <c r="S77" s="167"/>
      <c r="T77" s="167"/>
      <c r="U77" s="167"/>
      <c r="V77" s="167"/>
      <c r="W77" s="167"/>
      <c r="X77" s="167"/>
      <c r="Y77" s="185"/>
      <c r="Z77" s="169"/>
    </row>
    <row r="78" spans="1:26" s="4" customFormat="1" x14ac:dyDescent="0.25">
      <c r="A78" s="189"/>
      <c r="B78" s="95"/>
      <c r="C78" s="37">
        <f>C75</f>
        <v>1.7920503247184628E-2</v>
      </c>
      <c r="D78" s="37">
        <f t="shared" ref="D78:L78" si="36">D75</f>
        <v>2.6073137524437157E-2</v>
      </c>
      <c r="E78" s="37">
        <f t="shared" si="36"/>
        <v>2.2400629058980784E-2</v>
      </c>
      <c r="F78" s="37">
        <f t="shared" si="36"/>
        <v>3.2591421905546439E-2</v>
      </c>
      <c r="G78" s="37">
        <f t="shared" si="36"/>
        <v>5.4433981189938044E-2</v>
      </c>
      <c r="H78" s="37">
        <f t="shared" si="36"/>
        <v>7.9197813699280514E-2</v>
      </c>
      <c r="I78" s="37">
        <f t="shared" si="36"/>
        <v>6.3506311388261058E-2</v>
      </c>
      <c r="J78" s="37">
        <f t="shared" si="36"/>
        <v>9.2397449315827287E-2</v>
      </c>
      <c r="K78" s="37">
        <f t="shared" si="36"/>
        <v>7.2578641586584058E-2</v>
      </c>
      <c r="L78" s="37">
        <f t="shared" si="36"/>
        <v>0.10559708493237403</v>
      </c>
      <c r="M78" s="166"/>
      <c r="N78" s="166"/>
      <c r="O78" s="41"/>
      <c r="P78" s="41"/>
      <c r="Q78" s="41"/>
      <c r="R78" s="41"/>
      <c r="S78" s="41"/>
      <c r="T78" s="41"/>
      <c r="U78" s="41"/>
      <c r="V78" s="41"/>
      <c r="W78" s="41"/>
      <c r="X78" s="41"/>
      <c r="Y78" s="185"/>
      <c r="Z78" s="169"/>
    </row>
    <row r="79" spans="1:26" x14ac:dyDescent="0.25">
      <c r="A79" s="506" t="s">
        <v>150</v>
      </c>
      <c r="B79" s="88" t="s">
        <v>153</v>
      </c>
      <c r="C79" s="37">
        <f>Datos!C67</f>
        <v>0.23955555555555555</v>
      </c>
      <c r="D79" s="37">
        <f>Datos!D67</f>
        <v>0.2327115308614556</v>
      </c>
      <c r="E79" s="37">
        <f>Datos!E67</f>
        <v>0.42199999999999999</v>
      </c>
      <c r="F79" s="37">
        <f>Datos!F67</f>
        <v>0.40856203182870365</v>
      </c>
      <c r="G79" s="37">
        <f>Datos!G67</f>
        <v>0.78600000000000003</v>
      </c>
      <c r="H79" s="37">
        <f>Datos!H67</f>
        <v>0.58249493630952376</v>
      </c>
      <c r="I79" s="37">
        <f>Datos!I67</f>
        <v>0.86799999999999999</v>
      </c>
      <c r="J79" s="37">
        <f>Datos!J67</f>
        <v>0.74304199720492636</v>
      </c>
      <c r="K79" s="37">
        <f>Datos!K67</f>
        <v>1.3740000000000001</v>
      </c>
      <c r="L79" s="37">
        <f>Datos!L67</f>
        <v>0.91206257563956428</v>
      </c>
      <c r="M79" s="144">
        <v>2500</v>
      </c>
      <c r="N79" s="144">
        <v>1</v>
      </c>
      <c r="O79" s="41">
        <f t="shared" ref="O79:O85" si="37">D79*M79</f>
        <v>581.77882715363899</v>
      </c>
      <c r="P79" s="41">
        <f t="shared" ref="P79:P85" si="38">F79*M79</f>
        <v>1021.4050795717592</v>
      </c>
      <c r="Q79" s="41">
        <f t="shared" ref="Q79:Q85" si="39">H79*M79</f>
        <v>1456.2373407738094</v>
      </c>
      <c r="R79" s="41">
        <f t="shared" ref="R79:R85" si="40">J79*M79</f>
        <v>1857.6049930123158</v>
      </c>
      <c r="S79" s="41">
        <f t="shared" ref="S79:S85" si="41">L79*M79</f>
        <v>2280.1564390989106</v>
      </c>
      <c r="T79" s="41">
        <f t="shared" si="0"/>
        <v>581.77882715363899</v>
      </c>
      <c r="U79" s="41">
        <f t="shared" si="1"/>
        <v>1021.4050795717592</v>
      </c>
      <c r="V79" s="41">
        <f t="shared" si="2"/>
        <v>1456.2373407738094</v>
      </c>
      <c r="W79" s="41">
        <f t="shared" si="3"/>
        <v>1857.6049930123158</v>
      </c>
      <c r="X79" s="41">
        <f t="shared" si="4"/>
        <v>2280.1564390989106</v>
      </c>
      <c r="Y79" s="28" t="s">
        <v>81</v>
      </c>
      <c r="Z79" s="43" t="s">
        <v>125</v>
      </c>
    </row>
    <row r="80" spans="1:26" x14ac:dyDescent="0.25">
      <c r="A80" s="507"/>
      <c r="B80" s="88" t="s">
        <v>154</v>
      </c>
      <c r="C80" s="37">
        <f>Datos!C68</f>
        <v>0.35216666666666668</v>
      </c>
      <c r="D80" s="37">
        <f>Datos!D68</f>
        <v>0.32827964901620366</v>
      </c>
      <c r="E80" s="37">
        <f>Datos!E68</f>
        <v>1.4219999999999999</v>
      </c>
      <c r="F80" s="37">
        <f>Datos!F68</f>
        <v>0.53815745067959075</v>
      </c>
      <c r="G80" s="37">
        <f>Datos!G68</f>
        <v>1.786</v>
      </c>
      <c r="H80" s="37">
        <f>Datos!H68</f>
        <v>0.69121584652967782</v>
      </c>
      <c r="I80" s="37">
        <f>Datos!I68</f>
        <v>1.8680000000000001</v>
      </c>
      <c r="J80" s="37">
        <f>Datos!J68</f>
        <v>0.80641848761795754</v>
      </c>
      <c r="K80" s="37">
        <f>Datos!K68</f>
        <v>2.3740000000000001</v>
      </c>
      <c r="L80" s="37">
        <f>Datos!L68</f>
        <v>0.92162112870623725</v>
      </c>
      <c r="M80" s="144">
        <v>2500</v>
      </c>
      <c r="N80" s="144">
        <v>1</v>
      </c>
      <c r="O80" s="41">
        <f t="shared" si="37"/>
        <v>820.69912254050917</v>
      </c>
      <c r="P80" s="41">
        <f t="shared" si="38"/>
        <v>1345.393626698977</v>
      </c>
      <c r="Q80" s="41">
        <f t="shared" si="39"/>
        <v>1728.0396163241946</v>
      </c>
      <c r="R80" s="41">
        <f t="shared" si="40"/>
        <v>2016.0462190448939</v>
      </c>
      <c r="S80" s="41">
        <f t="shared" si="41"/>
        <v>2304.0528217655933</v>
      </c>
      <c r="T80" s="41">
        <f t="shared" ref="T80:T152" si="42">O80/N80</f>
        <v>820.69912254050917</v>
      </c>
      <c r="U80" s="41">
        <f t="shared" ref="U80:U152" si="43">P80/N80</f>
        <v>1345.393626698977</v>
      </c>
      <c r="V80" s="41">
        <f t="shared" ref="V80:V152" si="44">Q80/N80</f>
        <v>1728.0396163241946</v>
      </c>
      <c r="W80" s="41">
        <f t="shared" ref="W80:W152" si="45">R80/N80</f>
        <v>2016.0462190448939</v>
      </c>
      <c r="X80" s="41">
        <f t="shared" ref="X80:X152" si="46">S80/N80</f>
        <v>2304.0528217655933</v>
      </c>
      <c r="Y80" s="28" t="s">
        <v>81</v>
      </c>
      <c r="Z80" s="43" t="s">
        <v>126</v>
      </c>
    </row>
    <row r="81" spans="1:26" s="4" customFormat="1" x14ac:dyDescent="0.25">
      <c r="A81" s="40" t="s">
        <v>45</v>
      </c>
      <c r="B81" s="96" t="s">
        <v>218</v>
      </c>
      <c r="C81" s="37">
        <f>Datos!C69</f>
        <v>0.109</v>
      </c>
      <c r="D81" s="37">
        <f>Datos!D69</f>
        <v>0.14123220833333333</v>
      </c>
      <c r="E81" s="37">
        <f>Datos!E69</f>
        <v>0.221</v>
      </c>
      <c r="F81" s="37">
        <f>Datos!F69</f>
        <v>0.28635154166666665</v>
      </c>
      <c r="G81" s="37">
        <f>Datos!G69</f>
        <v>0.379</v>
      </c>
      <c r="H81" s="37">
        <f>Datos!H69</f>
        <v>0.49107345833333343</v>
      </c>
      <c r="I81" s="37">
        <f>Datos!I69</f>
        <v>0.56899999999999995</v>
      </c>
      <c r="J81" s="37">
        <f>Datos!J69</f>
        <v>0.73725804166666664</v>
      </c>
      <c r="K81" s="37">
        <f>Datos!K69</f>
        <v>0.79900000000000004</v>
      </c>
      <c r="L81" s="37">
        <f>Datos!L69</f>
        <v>1.0352709583333333</v>
      </c>
      <c r="M81" s="144">
        <v>2500</v>
      </c>
      <c r="N81" s="144">
        <v>1</v>
      </c>
      <c r="O81" s="41">
        <f t="shared" si="37"/>
        <v>353.08052083333331</v>
      </c>
      <c r="P81" s="41">
        <f t="shared" si="38"/>
        <v>715.87885416666666</v>
      </c>
      <c r="Q81" s="41">
        <f t="shared" si="39"/>
        <v>1227.6836458333337</v>
      </c>
      <c r="R81" s="41">
        <f t="shared" si="40"/>
        <v>1843.1451041666667</v>
      </c>
      <c r="S81" s="41">
        <f t="shared" si="41"/>
        <v>2588.1773958333333</v>
      </c>
      <c r="T81" s="41">
        <f t="shared" si="42"/>
        <v>353.08052083333331</v>
      </c>
      <c r="U81" s="41">
        <f t="shared" si="43"/>
        <v>715.87885416666666</v>
      </c>
      <c r="V81" s="41">
        <f t="shared" si="44"/>
        <v>1227.6836458333337</v>
      </c>
      <c r="W81" s="41">
        <f t="shared" si="45"/>
        <v>1843.1451041666667</v>
      </c>
      <c r="X81" s="41">
        <f t="shared" si="46"/>
        <v>2588.1773958333333</v>
      </c>
      <c r="Y81" s="139" t="s">
        <v>130</v>
      </c>
      <c r="Z81" s="43"/>
    </row>
    <row r="82" spans="1:26" x14ac:dyDescent="0.25">
      <c r="A82" s="38" t="s">
        <v>309</v>
      </c>
      <c r="B82" s="88" t="s">
        <v>155</v>
      </c>
      <c r="C82" s="37">
        <f>Datos!C70</f>
        <v>4.0599999999999997E-2</v>
      </c>
      <c r="D82" s="37">
        <f>Datos!D70</f>
        <v>0.11982849020241199</v>
      </c>
      <c r="E82" s="37">
        <f>Datos!E70</f>
        <v>0.124475</v>
      </c>
      <c r="F82" s="37">
        <f>Datos!F70</f>
        <v>0.14978561275301497</v>
      </c>
      <c r="G82" s="37">
        <f>Datos!G70</f>
        <v>0.1981859410430839</v>
      </c>
      <c r="H82" s="37">
        <f>Datos!H70</f>
        <v>0.17974273530361798</v>
      </c>
      <c r="I82" s="37">
        <f>Datos!I70</f>
        <v>0.340225</v>
      </c>
      <c r="J82" s="37">
        <f>Datos!J70</f>
        <v>0.26196202857543643</v>
      </c>
      <c r="K82" s="37">
        <f>Datos!K70</f>
        <v>0.39999999999999997</v>
      </c>
      <c r="L82" s="37">
        <f>Datos!L70</f>
        <v>0.35801687535521448</v>
      </c>
      <c r="M82" s="144">
        <v>2500</v>
      </c>
      <c r="N82" s="144">
        <v>1</v>
      </c>
      <c r="O82" s="41">
        <f t="shared" si="37"/>
        <v>299.57122550602998</v>
      </c>
      <c r="P82" s="41">
        <f t="shared" si="38"/>
        <v>374.46403188253743</v>
      </c>
      <c r="Q82" s="41">
        <f t="shared" si="39"/>
        <v>449.35683825904493</v>
      </c>
      <c r="R82" s="41">
        <f t="shared" si="40"/>
        <v>654.90507143859111</v>
      </c>
      <c r="S82" s="41">
        <f t="shared" si="41"/>
        <v>895.04218838803615</v>
      </c>
      <c r="T82" s="41">
        <f t="shared" si="42"/>
        <v>299.57122550602998</v>
      </c>
      <c r="U82" s="41">
        <f t="shared" si="43"/>
        <v>374.46403188253743</v>
      </c>
      <c r="V82" s="41">
        <f t="shared" si="44"/>
        <v>449.35683825904493</v>
      </c>
      <c r="W82" s="41">
        <f t="shared" si="45"/>
        <v>654.90507143859111</v>
      </c>
      <c r="X82" s="41">
        <f t="shared" si="46"/>
        <v>895.04218838803615</v>
      </c>
      <c r="Y82" s="28" t="s">
        <v>81</v>
      </c>
      <c r="Z82" s="43" t="s">
        <v>127</v>
      </c>
    </row>
    <row r="83" spans="1:26" s="4" customFormat="1" x14ac:dyDescent="0.25">
      <c r="A83" s="39" t="s">
        <v>149</v>
      </c>
      <c r="B83" s="89"/>
      <c r="C83" s="37">
        <f>Datos!C71</f>
        <v>6.0666666666666667E-2</v>
      </c>
      <c r="D83" s="37">
        <f>Datos!D71</f>
        <v>7.8606305555555561E-2</v>
      </c>
      <c r="E83" s="37">
        <f>Datos!E71</f>
        <v>7.5833333333333322E-2</v>
      </c>
      <c r="F83" s="37">
        <f>Datos!F71</f>
        <v>9.8257881944444431E-2</v>
      </c>
      <c r="G83" s="37">
        <f>Datos!G71</f>
        <v>9.0999999999999998E-2</v>
      </c>
      <c r="H83" s="37">
        <f>Datos!H71</f>
        <v>0.11790945833333333</v>
      </c>
      <c r="I83" s="37">
        <f>Datos!I71</f>
        <v>0.15225</v>
      </c>
      <c r="J83" s="37">
        <f>Datos!J71</f>
        <v>0.19727159375</v>
      </c>
      <c r="K83" s="37">
        <f>Datos!K71</f>
        <v>0.17399999999999999</v>
      </c>
      <c r="L83" s="37">
        <f>Datos!L71</f>
        <v>0.22545325000000002</v>
      </c>
      <c r="M83" s="144">
        <v>2500</v>
      </c>
      <c r="N83" s="144">
        <v>1</v>
      </c>
      <c r="O83" s="41">
        <f t="shared" si="37"/>
        <v>196.5157638888889</v>
      </c>
      <c r="P83" s="41">
        <f t="shared" si="38"/>
        <v>245.64470486111108</v>
      </c>
      <c r="Q83" s="41">
        <f t="shared" si="39"/>
        <v>294.77364583333332</v>
      </c>
      <c r="R83" s="41">
        <f t="shared" si="40"/>
        <v>493.17898437500003</v>
      </c>
      <c r="S83" s="41">
        <f t="shared" si="41"/>
        <v>563.63312500000006</v>
      </c>
      <c r="T83" s="41">
        <f t="shared" si="42"/>
        <v>196.5157638888889</v>
      </c>
      <c r="U83" s="41">
        <f t="shared" si="43"/>
        <v>245.64470486111108</v>
      </c>
      <c r="V83" s="41">
        <f t="shared" si="44"/>
        <v>294.77364583333332</v>
      </c>
      <c r="W83" s="41">
        <f t="shared" si="45"/>
        <v>493.17898437500003</v>
      </c>
      <c r="X83" s="41">
        <f t="shared" si="46"/>
        <v>563.63312500000006</v>
      </c>
      <c r="Y83" s="139" t="s">
        <v>130</v>
      </c>
      <c r="Z83" s="43" t="s">
        <v>127</v>
      </c>
    </row>
    <row r="84" spans="1:26" x14ac:dyDescent="0.25">
      <c r="A84" s="93" t="s">
        <v>215</v>
      </c>
      <c r="B84" s="85" t="s">
        <v>214</v>
      </c>
      <c r="C84" s="37">
        <f>Datos!C72</f>
        <v>1.7414482645901213E-2</v>
      </c>
      <c r="D84" s="37">
        <f>Datos!D72</f>
        <v>2.2564090284982921E-2</v>
      </c>
      <c r="E84" s="37">
        <f>Datos!E72</f>
        <v>2.1768103307376517E-2</v>
      </c>
      <c r="F84" s="37">
        <f>Datos!F72</f>
        <v>2.8205112856228648E-2</v>
      </c>
      <c r="G84" s="37">
        <f>Datos!G72</f>
        <v>2.6121723968851821E-2</v>
      </c>
      <c r="H84" s="37">
        <f>Datos!H72</f>
        <v>3.3846135427474382E-2</v>
      </c>
      <c r="I84" s="37">
        <f>Datos!I72</f>
        <v>6.1389279326479446E-2</v>
      </c>
      <c r="J84" s="37">
        <f>Datos!J72</f>
        <v>7.9542600800647137E-2</v>
      </c>
      <c r="K84" s="37">
        <f>Datos!K72</f>
        <v>7.0159176373119372E-2</v>
      </c>
      <c r="L84" s="37">
        <f>Datos!L72</f>
        <v>9.0905829486453871E-2</v>
      </c>
      <c r="M84" s="144">
        <v>2500</v>
      </c>
      <c r="N84" s="144">
        <v>1</v>
      </c>
      <c r="O84" s="41">
        <f t="shared" si="37"/>
        <v>56.410225712457304</v>
      </c>
      <c r="P84" s="41">
        <f t="shared" si="38"/>
        <v>70.512782140571616</v>
      </c>
      <c r="Q84" s="41">
        <f t="shared" si="39"/>
        <v>84.615338568685956</v>
      </c>
      <c r="R84" s="41">
        <f t="shared" si="40"/>
        <v>198.85650200161786</v>
      </c>
      <c r="S84" s="41">
        <f t="shared" si="41"/>
        <v>227.26457371613466</v>
      </c>
      <c r="T84" s="41">
        <f t="shared" si="42"/>
        <v>56.410225712457304</v>
      </c>
      <c r="U84" s="41">
        <f t="shared" si="43"/>
        <v>70.512782140571616</v>
      </c>
      <c r="V84" s="41">
        <f t="shared" si="44"/>
        <v>84.615338568685956</v>
      </c>
      <c r="W84" s="41">
        <f t="shared" si="45"/>
        <v>198.85650200161786</v>
      </c>
      <c r="X84" s="41">
        <f t="shared" si="46"/>
        <v>227.26457371613466</v>
      </c>
      <c r="Y84" s="140" t="s">
        <v>213</v>
      </c>
      <c r="Z84" s="43"/>
    </row>
    <row r="85" spans="1:26" x14ac:dyDescent="0.25">
      <c r="A85" s="136" t="s">
        <v>215</v>
      </c>
      <c r="B85" s="135"/>
      <c r="C85" s="37">
        <f>Datos!C73</f>
        <v>0</v>
      </c>
      <c r="D85" s="37">
        <f>Datos!D73</f>
        <v>7.332910309194092E-2</v>
      </c>
      <c r="E85" s="37">
        <f>Datos!E73</f>
        <v>0</v>
      </c>
      <c r="F85" s="37">
        <f>Datos!F73</f>
        <v>0.13408913811397005</v>
      </c>
      <c r="G85" s="37">
        <f>Datos!G73</f>
        <v>0</v>
      </c>
      <c r="H85" s="37">
        <f>Datos!H73</f>
        <v>0.2198004832699853</v>
      </c>
      <c r="I85" s="37">
        <f>Datos!I73</f>
        <v>0</v>
      </c>
      <c r="J85" s="37">
        <f>Datos!J73</f>
        <v>0.334057288896078</v>
      </c>
      <c r="K85" s="37">
        <f>Datos!K73</f>
        <v>0</v>
      </c>
      <c r="L85" s="37">
        <f>Datos!L73</f>
        <v>0.42209200204030534</v>
      </c>
      <c r="M85" s="144">
        <v>2500</v>
      </c>
      <c r="N85" s="144">
        <v>1</v>
      </c>
      <c r="O85" s="41">
        <f t="shared" si="37"/>
        <v>183.3227577298523</v>
      </c>
      <c r="P85" s="41">
        <f t="shared" si="38"/>
        <v>335.22284528492514</v>
      </c>
      <c r="Q85" s="41">
        <f t="shared" si="39"/>
        <v>549.50120817496327</v>
      </c>
      <c r="R85" s="41">
        <f t="shared" si="40"/>
        <v>835.14322224019497</v>
      </c>
      <c r="S85" s="41">
        <f t="shared" si="41"/>
        <v>1055.2300051007633</v>
      </c>
      <c r="T85" s="41">
        <f t="shared" si="42"/>
        <v>183.3227577298523</v>
      </c>
      <c r="U85" s="41">
        <f t="shared" si="43"/>
        <v>335.22284528492514</v>
      </c>
      <c r="V85" s="41">
        <f t="shared" si="44"/>
        <v>549.50120817496327</v>
      </c>
      <c r="W85" s="41">
        <f t="shared" si="45"/>
        <v>835.14322224019497</v>
      </c>
      <c r="X85" s="41">
        <f t="shared" si="46"/>
        <v>1055.2300051007633</v>
      </c>
      <c r="Y85" s="142" t="s">
        <v>85</v>
      </c>
      <c r="Z85" s="43"/>
    </row>
    <row r="86" spans="1:26" s="4" customFormat="1" x14ac:dyDescent="0.25">
      <c r="A86" s="180"/>
      <c r="B86" s="95"/>
      <c r="C86" s="37">
        <f>C79</f>
        <v>0.23955555555555555</v>
      </c>
      <c r="D86" s="37">
        <f t="shared" ref="D86:L86" si="47">D79</f>
        <v>0.2327115308614556</v>
      </c>
      <c r="E86" s="37">
        <f t="shared" si="47"/>
        <v>0.42199999999999999</v>
      </c>
      <c r="F86" s="37">
        <f t="shared" si="47"/>
        <v>0.40856203182870365</v>
      </c>
      <c r="G86" s="37">
        <f t="shared" si="47"/>
        <v>0.78600000000000003</v>
      </c>
      <c r="H86" s="37">
        <f t="shared" si="47"/>
        <v>0.58249493630952376</v>
      </c>
      <c r="I86" s="37">
        <f t="shared" si="47"/>
        <v>0.86799999999999999</v>
      </c>
      <c r="J86" s="37">
        <f t="shared" si="47"/>
        <v>0.74304199720492636</v>
      </c>
      <c r="K86" s="37">
        <f t="shared" si="47"/>
        <v>1.3740000000000001</v>
      </c>
      <c r="L86" s="37">
        <f t="shared" si="47"/>
        <v>0.91206257563956428</v>
      </c>
      <c r="M86" s="166"/>
      <c r="N86" s="166"/>
      <c r="O86" s="167"/>
      <c r="P86" s="167"/>
      <c r="Q86" s="167"/>
      <c r="R86" s="167"/>
      <c r="S86" s="167"/>
      <c r="T86" s="167"/>
      <c r="U86" s="167"/>
      <c r="V86" s="167"/>
      <c r="W86" s="167"/>
      <c r="X86" s="167"/>
      <c r="Y86" s="185"/>
      <c r="Z86" s="169"/>
    </row>
    <row r="87" spans="1:26" s="4" customFormat="1" x14ac:dyDescent="0.25">
      <c r="A87" s="180"/>
      <c r="B87" s="95"/>
      <c r="C87" s="37">
        <f>C80</f>
        <v>0.35216666666666668</v>
      </c>
      <c r="D87" s="37">
        <f t="shared" ref="D87:L87" si="48">D80</f>
        <v>0.32827964901620366</v>
      </c>
      <c r="E87" s="37">
        <f t="shared" si="48"/>
        <v>1.4219999999999999</v>
      </c>
      <c r="F87" s="37">
        <f t="shared" si="48"/>
        <v>0.53815745067959075</v>
      </c>
      <c r="G87" s="37">
        <f t="shared" si="48"/>
        <v>1.786</v>
      </c>
      <c r="H87" s="37">
        <f t="shared" si="48"/>
        <v>0.69121584652967782</v>
      </c>
      <c r="I87" s="37">
        <f t="shared" si="48"/>
        <v>1.8680000000000001</v>
      </c>
      <c r="J87" s="37">
        <f t="shared" si="48"/>
        <v>0.80641848761795754</v>
      </c>
      <c r="K87" s="37">
        <f t="shared" si="48"/>
        <v>2.3740000000000001</v>
      </c>
      <c r="L87" s="37">
        <f t="shared" si="48"/>
        <v>0.92162112870623725</v>
      </c>
      <c r="M87" s="166"/>
      <c r="N87" s="166"/>
      <c r="O87" s="167"/>
      <c r="P87" s="167"/>
      <c r="Q87" s="167"/>
      <c r="R87" s="167"/>
      <c r="S87" s="167"/>
      <c r="T87" s="167"/>
      <c r="U87" s="167"/>
      <c r="V87" s="167"/>
      <c r="W87" s="167"/>
      <c r="X87" s="167"/>
      <c r="Y87" s="185"/>
      <c r="Z87" s="169"/>
    </row>
    <row r="88" spans="1:26" s="4" customFormat="1" x14ac:dyDescent="0.25">
      <c r="A88" s="180"/>
      <c r="B88" s="95"/>
      <c r="C88" s="37">
        <f>C82</f>
        <v>4.0599999999999997E-2</v>
      </c>
      <c r="D88" s="37">
        <f t="shared" ref="D88:L88" si="49">D82</f>
        <v>0.11982849020241199</v>
      </c>
      <c r="E88" s="37">
        <f t="shared" si="49"/>
        <v>0.124475</v>
      </c>
      <c r="F88" s="37">
        <f t="shared" si="49"/>
        <v>0.14978561275301497</v>
      </c>
      <c r="G88" s="37">
        <f t="shared" si="49"/>
        <v>0.1981859410430839</v>
      </c>
      <c r="H88" s="37">
        <f t="shared" si="49"/>
        <v>0.17974273530361798</v>
      </c>
      <c r="I88" s="37">
        <f t="shared" si="49"/>
        <v>0.340225</v>
      </c>
      <c r="J88" s="37">
        <f t="shared" si="49"/>
        <v>0.26196202857543643</v>
      </c>
      <c r="K88" s="37">
        <f t="shared" si="49"/>
        <v>0.39999999999999997</v>
      </c>
      <c r="L88" s="37">
        <f t="shared" si="49"/>
        <v>0.35801687535521448</v>
      </c>
      <c r="M88" s="166"/>
      <c r="N88" s="166"/>
      <c r="O88" s="167"/>
      <c r="P88" s="167"/>
      <c r="Q88" s="167"/>
      <c r="R88" s="167"/>
      <c r="S88" s="167"/>
      <c r="T88" s="167"/>
      <c r="U88" s="167"/>
      <c r="V88" s="167"/>
      <c r="W88" s="167"/>
      <c r="X88" s="167"/>
      <c r="Y88" s="185"/>
      <c r="Z88" s="169"/>
    </row>
    <row r="89" spans="1:26" s="4" customFormat="1" x14ac:dyDescent="0.25">
      <c r="A89" s="180"/>
      <c r="B89" s="95"/>
      <c r="C89" s="37">
        <f>C84</f>
        <v>1.7414482645901213E-2</v>
      </c>
      <c r="D89" s="37">
        <f t="shared" ref="D89:L89" si="50">D84</f>
        <v>2.2564090284982921E-2</v>
      </c>
      <c r="E89" s="37">
        <f t="shared" si="50"/>
        <v>2.1768103307376517E-2</v>
      </c>
      <c r="F89" s="37">
        <f t="shared" si="50"/>
        <v>2.8205112856228648E-2</v>
      </c>
      <c r="G89" s="37">
        <f t="shared" si="50"/>
        <v>2.6121723968851821E-2</v>
      </c>
      <c r="H89" s="37">
        <f t="shared" si="50"/>
        <v>3.3846135427474382E-2</v>
      </c>
      <c r="I89" s="37">
        <f t="shared" si="50"/>
        <v>6.1389279326479446E-2</v>
      </c>
      <c r="J89" s="37">
        <f t="shared" si="50"/>
        <v>7.9542600800647137E-2</v>
      </c>
      <c r="K89" s="37">
        <f t="shared" si="50"/>
        <v>7.0159176373119372E-2</v>
      </c>
      <c r="L89" s="37">
        <f t="shared" si="50"/>
        <v>9.0905829486453871E-2</v>
      </c>
      <c r="M89" s="166"/>
      <c r="N89" s="166"/>
      <c r="O89" s="167"/>
      <c r="P89" s="167"/>
      <c r="Q89" s="167"/>
      <c r="R89" s="167"/>
      <c r="S89" s="167"/>
      <c r="T89" s="167"/>
      <c r="U89" s="167"/>
      <c r="V89" s="167"/>
      <c r="W89" s="167"/>
      <c r="X89" s="167"/>
      <c r="Y89" s="185"/>
      <c r="Z89" s="169"/>
    </row>
    <row r="90" spans="1:26" x14ac:dyDescent="0.25">
      <c r="A90" s="92" t="s">
        <v>216</v>
      </c>
      <c r="B90" s="85" t="s">
        <v>214</v>
      </c>
      <c r="C90" s="37">
        <f>Datos!C74</f>
        <v>0.10742808270298149</v>
      </c>
      <c r="D90" s="37">
        <f>Datos!D74</f>
        <v>0.13919546199227564</v>
      </c>
      <c r="E90" s="37">
        <f>Datos!E74</f>
        <v>0.13428510337872684</v>
      </c>
      <c r="F90" s="37">
        <f>Datos!F74</f>
        <v>0.17399432749034452</v>
      </c>
      <c r="G90" s="37">
        <f>Datos!G74</f>
        <v>0.16114212405447223</v>
      </c>
      <c r="H90" s="37">
        <f>Datos!H74</f>
        <v>0.20879319298841345</v>
      </c>
      <c r="I90" s="37">
        <f>Datos!I74</f>
        <v>0.18799914473021759</v>
      </c>
      <c r="J90" s="37">
        <f>Datos!J74</f>
        <v>0.24359205848648233</v>
      </c>
      <c r="K90" s="37">
        <f>Datos!K74</f>
        <v>0.21485616540596297</v>
      </c>
      <c r="L90" s="37">
        <f>Datos!L74</f>
        <v>0.27839092398455129</v>
      </c>
      <c r="M90" s="144">
        <v>2500</v>
      </c>
      <c r="N90" s="144">
        <v>1</v>
      </c>
      <c r="O90" s="41">
        <f>D90*M90</f>
        <v>347.98865498068909</v>
      </c>
      <c r="P90" s="41">
        <f>F90*M90</f>
        <v>434.98581872586129</v>
      </c>
      <c r="Q90" s="41">
        <f>H90*M90</f>
        <v>521.98298247103367</v>
      </c>
      <c r="R90" s="41">
        <f>J90*M90</f>
        <v>608.98014621620587</v>
      </c>
      <c r="S90" s="41">
        <f>L90*M90</f>
        <v>695.97730996137818</v>
      </c>
      <c r="T90" s="41">
        <f t="shared" si="42"/>
        <v>347.98865498068909</v>
      </c>
      <c r="U90" s="41">
        <f t="shared" si="43"/>
        <v>434.98581872586129</v>
      </c>
      <c r="V90" s="41">
        <f t="shared" si="44"/>
        <v>521.98298247103367</v>
      </c>
      <c r="W90" s="41">
        <f t="shared" si="45"/>
        <v>608.98014621620587</v>
      </c>
      <c r="X90" s="41">
        <f t="shared" si="46"/>
        <v>695.97730996137818</v>
      </c>
      <c r="Y90" s="140" t="s">
        <v>213</v>
      </c>
      <c r="Z90" s="43"/>
    </row>
    <row r="91" spans="1:26" x14ac:dyDescent="0.25">
      <c r="A91" s="39" t="s">
        <v>46</v>
      </c>
      <c r="B91" s="96" t="s">
        <v>218</v>
      </c>
      <c r="C91" s="37">
        <f>Datos!C75</f>
        <v>6.8000000000000005E-2</v>
      </c>
      <c r="D91" s="37">
        <f>Datos!D75</f>
        <v>0.11312128666666665</v>
      </c>
      <c r="E91" s="37">
        <f>Datos!E75</f>
        <v>8.5000000000000006E-2</v>
      </c>
      <c r="F91" s="37">
        <f>Datos!F75</f>
        <v>0.14140160833333335</v>
      </c>
      <c r="G91" s="37">
        <f>Datos!G75</f>
        <v>0.10199999999999999</v>
      </c>
      <c r="H91" s="37">
        <f>Datos!H75</f>
        <v>0.16968192999999995</v>
      </c>
      <c r="I91" s="37">
        <f>Datos!I75</f>
        <v>0.11899999999999999</v>
      </c>
      <c r="J91" s="37">
        <f>Datos!J75</f>
        <v>0.19796225166666664</v>
      </c>
      <c r="K91" s="37">
        <f>Datos!K75</f>
        <v>0.13600000000000001</v>
      </c>
      <c r="L91" s="37">
        <f>Datos!L75</f>
        <v>0.22624257333333331</v>
      </c>
      <c r="M91" s="144">
        <v>2500</v>
      </c>
      <c r="N91" s="144">
        <v>1</v>
      </c>
      <c r="O91" s="41">
        <f>D91*M91</f>
        <v>282.80321666666663</v>
      </c>
      <c r="P91" s="41">
        <f>F91*M91</f>
        <v>353.50402083333336</v>
      </c>
      <c r="Q91" s="41">
        <f>H91*M91</f>
        <v>424.20482499999986</v>
      </c>
      <c r="R91" s="41">
        <f>J91*M91</f>
        <v>494.90562916666659</v>
      </c>
      <c r="S91" s="41">
        <f>L91*M91</f>
        <v>565.60643333333326</v>
      </c>
      <c r="T91" s="41">
        <f t="shared" si="42"/>
        <v>282.80321666666663</v>
      </c>
      <c r="U91" s="41">
        <f t="shared" si="43"/>
        <v>353.50402083333336</v>
      </c>
      <c r="V91" s="41">
        <f t="shared" si="44"/>
        <v>424.20482499999986</v>
      </c>
      <c r="W91" s="41">
        <f t="shared" si="45"/>
        <v>494.90562916666659</v>
      </c>
      <c r="X91" s="41">
        <f t="shared" si="46"/>
        <v>565.60643333333326</v>
      </c>
      <c r="Y91" s="139" t="s">
        <v>130</v>
      </c>
      <c r="Z91" s="43" t="s">
        <v>152</v>
      </c>
    </row>
    <row r="92" spans="1:26" x14ac:dyDescent="0.25">
      <c r="A92" s="93" t="s">
        <v>46</v>
      </c>
      <c r="B92" s="85" t="s">
        <v>214</v>
      </c>
      <c r="C92" s="37">
        <f>Datos!C76</f>
        <v>3.3503830928553087E-2</v>
      </c>
      <c r="D92" s="37">
        <f>Datos!D76</f>
        <v>5.5735242101476262E-2</v>
      </c>
      <c r="E92" s="37">
        <f>Datos!E76</f>
        <v>5.8341290419510826E-2</v>
      </c>
      <c r="F92" s="37">
        <f>Datos!F76</f>
        <v>9.7053556441893188E-2</v>
      </c>
      <c r="G92" s="37">
        <f>Datos!G76</f>
        <v>0.10075270942259493</v>
      </c>
      <c r="H92" s="37">
        <f>Datos!H76</f>
        <v>0.16760700183877539</v>
      </c>
      <c r="I92" s="37">
        <f>Datos!I76</f>
        <v>0.11754482765969408</v>
      </c>
      <c r="J92" s="37">
        <f>Datos!J76</f>
        <v>0.19554150214523794</v>
      </c>
      <c r="K92" s="37">
        <f>Datos!K76</f>
        <v>0.17605825136816797</v>
      </c>
      <c r="L92" s="37">
        <f>Datos!L76</f>
        <v>0.29288141063309686</v>
      </c>
      <c r="M92" s="144">
        <v>2500</v>
      </c>
      <c r="N92" s="144">
        <v>1</v>
      </c>
      <c r="O92" s="41">
        <f>D92*M92</f>
        <v>139.33810525369066</v>
      </c>
      <c r="P92" s="41">
        <f>F92*M92</f>
        <v>242.63389110473298</v>
      </c>
      <c r="Q92" s="41">
        <f>H92*M92</f>
        <v>419.01750459693847</v>
      </c>
      <c r="R92" s="41">
        <f>J92*M92</f>
        <v>488.85375536309482</v>
      </c>
      <c r="S92" s="41">
        <f>L92*M92</f>
        <v>732.20352658274214</v>
      </c>
      <c r="T92" s="41">
        <f t="shared" si="42"/>
        <v>139.33810525369066</v>
      </c>
      <c r="U92" s="41">
        <f t="shared" si="43"/>
        <v>242.63389110473298</v>
      </c>
      <c r="V92" s="41">
        <f t="shared" si="44"/>
        <v>419.01750459693847</v>
      </c>
      <c r="W92" s="41">
        <f t="shared" si="45"/>
        <v>488.85375536309482</v>
      </c>
      <c r="X92" s="41">
        <f t="shared" si="46"/>
        <v>732.20352658274214</v>
      </c>
      <c r="Y92" s="140" t="s">
        <v>213</v>
      </c>
      <c r="Z92" s="43"/>
    </row>
    <row r="93" spans="1:26" s="4" customFormat="1" x14ac:dyDescent="0.25">
      <c r="A93" s="180"/>
      <c r="B93" s="95"/>
      <c r="C93" s="37">
        <f>C92</f>
        <v>3.3503830928553087E-2</v>
      </c>
      <c r="D93" s="37">
        <f t="shared" ref="D93:L93" si="51">D92</f>
        <v>5.5735242101476262E-2</v>
      </c>
      <c r="E93" s="37">
        <f t="shared" si="51"/>
        <v>5.8341290419510826E-2</v>
      </c>
      <c r="F93" s="37">
        <f t="shared" si="51"/>
        <v>9.7053556441893188E-2</v>
      </c>
      <c r="G93" s="37">
        <f t="shared" si="51"/>
        <v>0.10075270942259493</v>
      </c>
      <c r="H93" s="37">
        <f t="shared" si="51"/>
        <v>0.16760700183877539</v>
      </c>
      <c r="I93" s="37">
        <f t="shared" si="51"/>
        <v>0.11754482765969408</v>
      </c>
      <c r="J93" s="37">
        <f t="shared" si="51"/>
        <v>0.19554150214523794</v>
      </c>
      <c r="K93" s="37">
        <f t="shared" si="51"/>
        <v>0.17605825136816797</v>
      </c>
      <c r="L93" s="37">
        <f t="shared" si="51"/>
        <v>0.29288141063309686</v>
      </c>
      <c r="M93" s="166"/>
      <c r="N93" s="166"/>
      <c r="O93" s="167"/>
      <c r="P93" s="167"/>
      <c r="Q93" s="167"/>
      <c r="R93" s="167"/>
      <c r="S93" s="167"/>
      <c r="T93" s="167"/>
      <c r="U93" s="167"/>
      <c r="V93" s="167"/>
      <c r="W93" s="167"/>
      <c r="X93" s="167"/>
      <c r="Y93" s="168"/>
      <c r="Z93" s="169"/>
    </row>
    <row r="94" spans="1:26" x14ac:dyDescent="0.25">
      <c r="A94" s="38" t="s">
        <v>47</v>
      </c>
      <c r="B94" s="88" t="s">
        <v>95</v>
      </c>
      <c r="C94" s="37">
        <f>Datos!C77</f>
        <v>0.67583025830258303</v>
      </c>
      <c r="D94" s="37">
        <f>Datos!D77</f>
        <v>0.4564333244723322</v>
      </c>
      <c r="E94" s="37">
        <f>Datos!E77</f>
        <v>1.099248120300752</v>
      </c>
      <c r="F94" s="37">
        <f>Datos!F77</f>
        <v>0.78694276633853766</v>
      </c>
      <c r="G94" s="37">
        <f>Datos!G77</f>
        <v>1.552547770700637</v>
      </c>
      <c r="H94" s="37">
        <f>Datos!H77</f>
        <v>1.1651157738742044</v>
      </c>
      <c r="I94" s="37">
        <f>Datos!I77</f>
        <v>2.0538759689922479</v>
      </c>
      <c r="J94" s="37">
        <f>Datos!J77</f>
        <v>1.5580231120134596</v>
      </c>
      <c r="K94" s="37">
        <f>Datos!K77</f>
        <v>2.5878999999999999</v>
      </c>
      <c r="L94" s="37">
        <f>Datos!L77</f>
        <v>1.7805978423010973</v>
      </c>
      <c r="M94" s="144">
        <v>2500</v>
      </c>
      <c r="N94" s="144">
        <v>1</v>
      </c>
      <c r="O94" s="41">
        <f t="shared" ref="O94:O152" si="52">D94*M94</f>
        <v>1141.0833111808306</v>
      </c>
      <c r="P94" s="41">
        <f t="shared" ref="P94:P152" si="53">F94*M94</f>
        <v>1967.3569158463442</v>
      </c>
      <c r="Q94" s="41">
        <f t="shared" ref="Q94:Q152" si="54">H94*M94</f>
        <v>2912.789434685511</v>
      </c>
      <c r="R94" s="41">
        <f t="shared" ref="R94:R152" si="55">J94*M94</f>
        <v>3895.0577800336487</v>
      </c>
      <c r="S94" s="41">
        <f t="shared" ref="S94:S152" si="56">L94*M94</f>
        <v>4451.4946057527432</v>
      </c>
      <c r="T94" s="41">
        <f t="shared" si="42"/>
        <v>1141.0833111808306</v>
      </c>
      <c r="U94" s="41">
        <f t="shared" si="43"/>
        <v>1967.3569158463442</v>
      </c>
      <c r="V94" s="41">
        <f t="shared" si="44"/>
        <v>2912.789434685511</v>
      </c>
      <c r="W94" s="41">
        <f t="shared" si="45"/>
        <v>3895.0577800336487</v>
      </c>
      <c r="X94" s="41">
        <f t="shared" si="46"/>
        <v>4451.4946057527432</v>
      </c>
      <c r="Y94" s="28" t="s">
        <v>81</v>
      </c>
      <c r="Z94" s="43" t="s">
        <v>123</v>
      </c>
    </row>
    <row r="95" spans="1:26" x14ac:dyDescent="0.25">
      <c r="A95" s="39" t="s">
        <v>47</v>
      </c>
      <c r="B95" s="96" t="s">
        <v>218</v>
      </c>
      <c r="C95" s="37">
        <f>Datos!C78</f>
        <v>0.25600000000000001</v>
      </c>
      <c r="D95" s="37">
        <f>Datos!D78</f>
        <v>0.26536106666666665</v>
      </c>
      <c r="E95" s="37">
        <f>Datos!E78</f>
        <v>0.53400000000000003</v>
      </c>
      <c r="F95" s="37">
        <f>Datos!F78</f>
        <v>0.55352659999999998</v>
      </c>
      <c r="G95" s="37">
        <f>Datos!G78</f>
        <v>0.92300000000000004</v>
      </c>
      <c r="H95" s="37">
        <f>Datos!H78</f>
        <v>0.95675103333333333</v>
      </c>
      <c r="I95" s="37">
        <f>Datos!I78</f>
        <v>1.4350000000000001</v>
      </c>
      <c r="J95" s="37">
        <f>Datos!J78</f>
        <v>1.4874731666666665</v>
      </c>
      <c r="K95" s="37">
        <f>Datos!K78</f>
        <v>2.0790000000000002</v>
      </c>
      <c r="L95" s="37">
        <f>Datos!L78</f>
        <v>2.1550221000000001</v>
      </c>
      <c r="M95" s="144">
        <v>2500</v>
      </c>
      <c r="N95" s="144">
        <v>1</v>
      </c>
      <c r="O95" s="41">
        <f t="shared" si="52"/>
        <v>663.40266666666662</v>
      </c>
      <c r="P95" s="41">
        <f t="shared" si="53"/>
        <v>1383.8164999999999</v>
      </c>
      <c r="Q95" s="41">
        <f t="shared" si="54"/>
        <v>2391.8775833333334</v>
      </c>
      <c r="R95" s="41">
        <f t="shared" si="55"/>
        <v>3718.6829166666662</v>
      </c>
      <c r="S95" s="41">
        <f t="shared" si="56"/>
        <v>5387.5552500000003</v>
      </c>
      <c r="T95" s="41">
        <f t="shared" si="42"/>
        <v>663.40266666666662</v>
      </c>
      <c r="U95" s="41">
        <f t="shared" si="43"/>
        <v>1383.8164999999999</v>
      </c>
      <c r="V95" s="41">
        <f t="shared" si="44"/>
        <v>2391.8775833333334</v>
      </c>
      <c r="W95" s="41">
        <f t="shared" si="45"/>
        <v>3718.6829166666662</v>
      </c>
      <c r="X95" s="41">
        <f t="shared" si="46"/>
        <v>5387.5552500000003</v>
      </c>
      <c r="Y95" s="139" t="s">
        <v>130</v>
      </c>
      <c r="Z95" s="43"/>
    </row>
    <row r="96" spans="1:26" x14ac:dyDescent="0.25">
      <c r="A96" s="93" t="s">
        <v>47</v>
      </c>
      <c r="B96" s="85" t="s">
        <v>214</v>
      </c>
      <c r="C96" s="37">
        <f>Datos!C79</f>
        <v>0.31777502341536062</v>
      </c>
      <c r="D96" s="37">
        <f>Datos!D79</f>
        <v>0.32939499677158235</v>
      </c>
      <c r="E96" s="37">
        <f>Datos!E79</f>
        <v>0.55930534071995763</v>
      </c>
      <c r="F96" s="37">
        <f>Datos!F79</f>
        <v>0.57975727267895072</v>
      </c>
      <c r="G96" s="37">
        <f>Datos!G79</f>
        <v>1.1056419210053683</v>
      </c>
      <c r="H96" s="37">
        <f>Datos!H79</f>
        <v>1.1460715605834644</v>
      </c>
      <c r="I96" s="37">
        <f>Datos!I79</f>
        <v>1.7462315731181992</v>
      </c>
      <c r="J96" s="37">
        <f>Datos!J79</f>
        <v>1.8100854409752209</v>
      </c>
      <c r="K96" s="37">
        <f>Datos!K79</f>
        <v>2.6150138968397703</v>
      </c>
      <c r="L96" s="37">
        <f>Datos!L79</f>
        <v>2.7106362383342106</v>
      </c>
      <c r="M96" s="144">
        <v>2500</v>
      </c>
      <c r="N96" s="144">
        <v>1</v>
      </c>
      <c r="O96" s="41">
        <f t="shared" si="52"/>
        <v>823.48749192895582</v>
      </c>
      <c r="P96" s="41">
        <f t="shared" si="53"/>
        <v>1449.3931816973768</v>
      </c>
      <c r="Q96" s="41">
        <f t="shared" si="54"/>
        <v>2865.1789014586611</v>
      </c>
      <c r="R96" s="41">
        <f t="shared" si="55"/>
        <v>4525.2136024380525</v>
      </c>
      <c r="S96" s="41">
        <f t="shared" si="56"/>
        <v>6776.590595835527</v>
      </c>
      <c r="T96" s="41">
        <f t="shared" si="42"/>
        <v>823.48749192895582</v>
      </c>
      <c r="U96" s="41">
        <f t="shared" si="43"/>
        <v>1449.3931816973768</v>
      </c>
      <c r="V96" s="41">
        <f t="shared" si="44"/>
        <v>2865.1789014586611</v>
      </c>
      <c r="W96" s="41">
        <f t="shared" si="45"/>
        <v>4525.2136024380525</v>
      </c>
      <c r="X96" s="41">
        <f t="shared" si="46"/>
        <v>6776.590595835527</v>
      </c>
      <c r="Y96" s="140" t="s">
        <v>213</v>
      </c>
      <c r="Z96" s="43"/>
    </row>
    <row r="97" spans="1:26" x14ac:dyDescent="0.25">
      <c r="A97" s="136" t="s">
        <v>47</v>
      </c>
      <c r="B97" s="135"/>
      <c r="C97" s="37">
        <f>Datos!C80</f>
        <v>0</v>
      </c>
      <c r="D97" s="37">
        <f>Datos!D80</f>
        <v>0.6347880113549772</v>
      </c>
      <c r="E97" s="37">
        <f>Datos!E80</f>
        <v>0</v>
      </c>
      <c r="F97" s="37">
        <f>Datos!F80</f>
        <v>1.0173346238390923</v>
      </c>
      <c r="G97" s="37">
        <f>Datos!G80</f>
        <v>0</v>
      </c>
      <c r="H97" s="37">
        <f>Datos!H80</f>
        <v>1.4175702293543506</v>
      </c>
      <c r="I97" s="37">
        <f>Datos!I80</f>
        <v>0</v>
      </c>
      <c r="J97" s="37">
        <f>Datos!J80</f>
        <v>1.8563619864045695</v>
      </c>
      <c r="K97" s="37">
        <f>Datos!K80</f>
        <v>0</v>
      </c>
      <c r="L97" s="37">
        <f>Datos!L80</f>
        <v>2.7347329518756447</v>
      </c>
      <c r="M97" s="144">
        <v>2500</v>
      </c>
      <c r="N97" s="144">
        <v>1</v>
      </c>
      <c r="O97" s="41">
        <f t="shared" si="52"/>
        <v>1586.9700283874431</v>
      </c>
      <c r="P97" s="41">
        <f t="shared" si="53"/>
        <v>2543.3365595977307</v>
      </c>
      <c r="Q97" s="41">
        <f t="shared" si="54"/>
        <v>3543.9255733858768</v>
      </c>
      <c r="R97" s="41">
        <f t="shared" si="55"/>
        <v>4640.9049660114242</v>
      </c>
      <c r="S97" s="41">
        <f t="shared" si="56"/>
        <v>6836.8323796891118</v>
      </c>
      <c r="T97" s="41">
        <f t="shared" si="42"/>
        <v>1586.9700283874431</v>
      </c>
      <c r="U97" s="41">
        <f t="shared" si="43"/>
        <v>2543.3365595977307</v>
      </c>
      <c r="V97" s="41">
        <f t="shared" si="44"/>
        <v>3543.9255733858768</v>
      </c>
      <c r="W97" s="41">
        <f t="shared" si="45"/>
        <v>4640.9049660114242</v>
      </c>
      <c r="X97" s="41">
        <f t="shared" si="46"/>
        <v>6836.8323796891118</v>
      </c>
      <c r="Y97" s="142" t="s">
        <v>85</v>
      </c>
      <c r="Z97" s="43"/>
    </row>
    <row r="98" spans="1:26" s="4" customFormat="1" x14ac:dyDescent="0.25">
      <c r="A98" s="189"/>
      <c r="B98" s="95"/>
      <c r="C98" s="37">
        <f>C94</f>
        <v>0.67583025830258303</v>
      </c>
      <c r="D98" s="37">
        <f t="shared" ref="D98:L98" si="57">D94</f>
        <v>0.4564333244723322</v>
      </c>
      <c r="E98" s="37">
        <f t="shared" si="57"/>
        <v>1.099248120300752</v>
      </c>
      <c r="F98" s="37">
        <f t="shared" si="57"/>
        <v>0.78694276633853766</v>
      </c>
      <c r="G98" s="37">
        <f t="shared" si="57"/>
        <v>1.552547770700637</v>
      </c>
      <c r="H98" s="37">
        <f t="shared" si="57"/>
        <v>1.1651157738742044</v>
      </c>
      <c r="I98" s="37">
        <f t="shared" si="57"/>
        <v>2.0538759689922479</v>
      </c>
      <c r="J98" s="37">
        <f t="shared" si="57"/>
        <v>1.5580231120134596</v>
      </c>
      <c r="K98" s="37">
        <f t="shared" si="57"/>
        <v>2.5878999999999999</v>
      </c>
      <c r="L98" s="37">
        <f t="shared" si="57"/>
        <v>1.7805978423010973</v>
      </c>
      <c r="M98" s="166"/>
      <c r="N98" s="166"/>
      <c r="O98" s="167"/>
      <c r="P98" s="167"/>
      <c r="Q98" s="167"/>
      <c r="R98" s="167"/>
      <c r="S98" s="167"/>
      <c r="T98" s="167"/>
      <c r="U98" s="167"/>
      <c r="V98" s="167"/>
      <c r="W98" s="167"/>
      <c r="X98" s="167"/>
      <c r="Y98" s="185"/>
      <c r="Z98" s="169"/>
    </row>
    <row r="99" spans="1:26" x14ac:dyDescent="0.25">
      <c r="A99" s="506" t="s">
        <v>48</v>
      </c>
      <c r="B99" s="88" t="s">
        <v>307</v>
      </c>
      <c r="C99" s="37">
        <f>Datos!C81</f>
        <v>4.7578749412317822E-2</v>
      </c>
      <c r="D99" s="37">
        <f>Datos!D81</f>
        <v>2.0214699176883854E-2</v>
      </c>
      <c r="E99" s="37">
        <f>Datos!E81</f>
        <v>5.9473436765397278E-2</v>
      </c>
      <c r="F99" s="37">
        <f>Datos!F81</f>
        <v>5.0853708186201808E-2</v>
      </c>
      <c r="G99" s="37">
        <f>Datos!G81</f>
        <v>7.1368124118476733E-2</v>
      </c>
      <c r="H99" s="37">
        <f>Datos!H81</f>
        <v>6.102444982344217E-2</v>
      </c>
      <c r="I99" s="37">
        <f>Datos!I81</f>
        <v>8.3262811471556189E-2</v>
      </c>
      <c r="J99" s="37">
        <f>Datos!J81</f>
        <v>0.14704079816421481</v>
      </c>
      <c r="K99" s="37">
        <f>Datos!K81</f>
        <v>0.17998417721518986</v>
      </c>
      <c r="L99" s="37">
        <f>Datos!L81</f>
        <v>0.16804662647338833</v>
      </c>
      <c r="M99" s="144">
        <v>2500</v>
      </c>
      <c r="N99" s="144">
        <v>1</v>
      </c>
      <c r="O99" s="41">
        <f t="shared" si="52"/>
        <v>50.536747942209637</v>
      </c>
      <c r="P99" s="41">
        <f t="shared" si="53"/>
        <v>127.13427046550451</v>
      </c>
      <c r="Q99" s="41">
        <f t="shared" si="54"/>
        <v>152.56112455860543</v>
      </c>
      <c r="R99" s="41">
        <f t="shared" si="55"/>
        <v>367.60199541053703</v>
      </c>
      <c r="S99" s="41">
        <f t="shared" si="56"/>
        <v>420.11656618347081</v>
      </c>
      <c r="T99" s="41">
        <f t="shared" si="42"/>
        <v>50.536747942209637</v>
      </c>
      <c r="U99" s="41">
        <f t="shared" si="43"/>
        <v>127.13427046550451</v>
      </c>
      <c r="V99" s="41">
        <f t="shared" si="44"/>
        <v>152.56112455860543</v>
      </c>
      <c r="W99" s="41">
        <f t="shared" si="45"/>
        <v>367.60199541053703</v>
      </c>
      <c r="X99" s="41">
        <f t="shared" si="46"/>
        <v>420.11656618347081</v>
      </c>
      <c r="Y99" s="28" t="s">
        <v>81</v>
      </c>
      <c r="Z99" s="43" t="s">
        <v>128</v>
      </c>
    </row>
    <row r="100" spans="1:26" x14ac:dyDescent="0.25">
      <c r="A100" s="508"/>
      <c r="B100" s="88" t="s">
        <v>94</v>
      </c>
      <c r="C100" s="37">
        <f>Datos!C82</f>
        <v>2.9976019184652279E-2</v>
      </c>
      <c r="D100" s="37">
        <f>Datos!D82</f>
        <v>3.1639288306640985E-2</v>
      </c>
      <c r="E100" s="37">
        <f>Datos!E82</f>
        <v>1.0594734367654</v>
      </c>
      <c r="F100" s="37">
        <f>Datos!F82</f>
        <v>3.9549110383301236E-2</v>
      </c>
      <c r="G100" s="37">
        <f>Datos!G82</f>
        <v>1.07136812411848</v>
      </c>
      <c r="H100" s="37">
        <f>Datos!H82</f>
        <v>4.7458932459961474E-2</v>
      </c>
      <c r="I100" s="37">
        <f>Datos!I82</f>
        <v>1.0832628114715599</v>
      </c>
      <c r="J100" s="37">
        <f>Datos!J82</f>
        <v>9.1964080011148003E-2</v>
      </c>
      <c r="K100" s="37">
        <f>Datos!K82</f>
        <v>1.17998417721519</v>
      </c>
      <c r="L100" s="37">
        <f>Datos!L82</f>
        <v>0.10795822541769297</v>
      </c>
      <c r="M100" s="144">
        <v>2500</v>
      </c>
      <c r="N100" s="144">
        <v>1</v>
      </c>
      <c r="O100" s="41">
        <f t="shared" si="52"/>
        <v>79.098220766602466</v>
      </c>
      <c r="P100" s="41">
        <f t="shared" si="53"/>
        <v>98.872775958253087</v>
      </c>
      <c r="Q100" s="41">
        <f t="shared" si="54"/>
        <v>118.64733114990368</v>
      </c>
      <c r="R100" s="41">
        <f t="shared" si="55"/>
        <v>229.91020002787002</v>
      </c>
      <c r="S100" s="41">
        <f t="shared" si="56"/>
        <v>269.8955635442324</v>
      </c>
      <c r="T100" s="41">
        <f t="shared" si="42"/>
        <v>79.098220766602466</v>
      </c>
      <c r="U100" s="41">
        <f t="shared" si="43"/>
        <v>98.872775958253087</v>
      </c>
      <c r="V100" s="41">
        <f t="shared" si="44"/>
        <v>118.64733114990368</v>
      </c>
      <c r="W100" s="41">
        <f t="shared" si="45"/>
        <v>229.91020002787002</v>
      </c>
      <c r="X100" s="41">
        <f t="shared" si="46"/>
        <v>269.8955635442324</v>
      </c>
      <c r="Y100" s="28" t="s">
        <v>81</v>
      </c>
      <c r="Z100" s="43" t="s">
        <v>122</v>
      </c>
    </row>
    <row r="101" spans="1:26" x14ac:dyDescent="0.25">
      <c r="A101" s="507"/>
      <c r="B101" s="88" t="s">
        <v>96</v>
      </c>
      <c r="C101" s="37">
        <f>Datos!C83</f>
        <v>0</v>
      </c>
      <c r="D101" s="37">
        <f>Datos!D83</f>
        <v>4.3635426256541009E-2</v>
      </c>
      <c r="E101" s="37">
        <f>Datos!E83</f>
        <v>2.0594734367654</v>
      </c>
      <c r="F101" s="37">
        <f>Datos!F83</f>
        <v>5.4544282820676256E-2</v>
      </c>
      <c r="G101" s="37">
        <f>Datos!G83</f>
        <v>2.07136812411848</v>
      </c>
      <c r="H101" s="37">
        <f>Datos!H83</f>
        <v>6.545313938481151E-2</v>
      </c>
      <c r="I101" s="37">
        <f>Datos!I83</f>
        <v>2.0832628114715601</v>
      </c>
      <c r="J101" s="37">
        <f>Datos!J83</f>
        <v>0.10950251840392226</v>
      </c>
      <c r="K101" s="37">
        <f>Datos!K83</f>
        <v>2.1799841772151902</v>
      </c>
      <c r="L101" s="37">
        <f>Datos!L83</f>
        <v>0.16625264941496601</v>
      </c>
      <c r="M101" s="144"/>
      <c r="N101" s="144"/>
      <c r="O101" s="41"/>
      <c r="P101" s="41"/>
      <c r="Q101" s="41"/>
      <c r="R101" s="41"/>
      <c r="S101" s="41"/>
      <c r="T101" s="41"/>
      <c r="U101" s="41"/>
      <c r="V101" s="41"/>
      <c r="W101" s="41"/>
      <c r="X101" s="41"/>
      <c r="Y101" s="28"/>
      <c r="Z101" s="43"/>
    </row>
    <row r="102" spans="1:26" x14ac:dyDescent="0.25">
      <c r="A102" s="39" t="s">
        <v>48</v>
      </c>
      <c r="B102" s="96" t="s">
        <v>218</v>
      </c>
      <c r="C102" s="37">
        <f>Datos!C84</f>
        <v>6.2E-2</v>
      </c>
      <c r="D102" s="37">
        <f>Datos!D84</f>
        <v>9.0135393333333313E-2</v>
      </c>
      <c r="E102" s="37">
        <f>Datos!E84</f>
        <v>7.7499999999999999E-2</v>
      </c>
      <c r="F102" s="37">
        <f>Datos!F84</f>
        <v>0.11266924166666666</v>
      </c>
      <c r="G102" s="37">
        <f>Datos!G84</f>
        <v>9.2999999999999999E-2</v>
      </c>
      <c r="H102" s="37">
        <f>Datos!H84</f>
        <v>0.13520308999999997</v>
      </c>
      <c r="I102" s="37">
        <f>Datos!I84</f>
        <v>0.1085</v>
      </c>
      <c r="J102" s="37">
        <f>Datos!J84</f>
        <v>0.15773693833333333</v>
      </c>
      <c r="K102" s="37">
        <f>Datos!K84</f>
        <v>0.124</v>
      </c>
      <c r="L102" s="37">
        <f>Datos!L84</f>
        <v>0.18027078666666663</v>
      </c>
      <c r="M102" s="144">
        <v>2500</v>
      </c>
      <c r="N102" s="144">
        <v>1</v>
      </c>
      <c r="O102" s="41">
        <f t="shared" si="52"/>
        <v>225.33848333333327</v>
      </c>
      <c r="P102" s="41">
        <f t="shared" si="53"/>
        <v>281.67310416666663</v>
      </c>
      <c r="Q102" s="41">
        <f t="shared" si="54"/>
        <v>338.00772499999994</v>
      </c>
      <c r="R102" s="41">
        <f t="shared" si="55"/>
        <v>394.3423458333333</v>
      </c>
      <c r="S102" s="41">
        <f t="shared" si="56"/>
        <v>450.67696666666654</v>
      </c>
      <c r="T102" s="41">
        <f t="shared" si="42"/>
        <v>225.33848333333327</v>
      </c>
      <c r="U102" s="41">
        <f t="shared" si="43"/>
        <v>281.67310416666663</v>
      </c>
      <c r="V102" s="41">
        <f t="shared" si="44"/>
        <v>338.00772499999994</v>
      </c>
      <c r="W102" s="41">
        <f t="shared" si="45"/>
        <v>394.3423458333333</v>
      </c>
      <c r="X102" s="41">
        <f t="shared" si="46"/>
        <v>450.67696666666654</v>
      </c>
      <c r="Y102" s="139" t="s">
        <v>130</v>
      </c>
      <c r="Z102" s="43" t="s">
        <v>152</v>
      </c>
    </row>
    <row r="103" spans="1:26" x14ac:dyDescent="0.25">
      <c r="A103" s="93" t="s">
        <v>48</v>
      </c>
      <c r="B103" s="85" t="s">
        <v>214</v>
      </c>
      <c r="C103" s="37">
        <f>Datos!C85</f>
        <v>2.5368496278808071E-2</v>
      </c>
      <c r="D103" s="37">
        <f>Datos!D85</f>
        <v>3.6880635328476907E-2</v>
      </c>
      <c r="E103" s="37">
        <f>Datos!E85</f>
        <v>6.40322140670921E-2</v>
      </c>
      <c r="F103" s="37">
        <f>Datos!F85</f>
        <v>9.3089819370024932E-2</v>
      </c>
      <c r="G103" s="37">
        <f>Datos!G85</f>
        <v>7.6838656880510517E-2</v>
      </c>
      <c r="H103" s="37">
        <f>Datos!H85</f>
        <v>0.11170778324402991</v>
      </c>
      <c r="I103" s="37">
        <f>Datos!I85</f>
        <v>0.13420830181283941</v>
      </c>
      <c r="J103" s="37">
        <f>Datos!J85</f>
        <v>0.19511158181449983</v>
      </c>
      <c r="K103" s="37">
        <f>Datos!K85</f>
        <v>0.15338091635753076</v>
      </c>
      <c r="L103" s="37">
        <f>Datos!L85</f>
        <v>0.222984664930857</v>
      </c>
      <c r="M103" s="144">
        <v>2500</v>
      </c>
      <c r="N103" s="144">
        <v>1</v>
      </c>
      <c r="O103" s="41">
        <f t="shared" si="52"/>
        <v>92.201588321192261</v>
      </c>
      <c r="P103" s="41">
        <f t="shared" si="53"/>
        <v>232.72454842506232</v>
      </c>
      <c r="Q103" s="41">
        <f t="shared" si="54"/>
        <v>279.26945811007477</v>
      </c>
      <c r="R103" s="41">
        <f t="shared" si="55"/>
        <v>487.77895453624961</v>
      </c>
      <c r="S103" s="41">
        <f t="shared" si="56"/>
        <v>557.46166232714245</v>
      </c>
      <c r="T103" s="41">
        <f t="shared" si="42"/>
        <v>92.201588321192261</v>
      </c>
      <c r="U103" s="41">
        <f t="shared" si="43"/>
        <v>232.72454842506232</v>
      </c>
      <c r="V103" s="41">
        <f t="shared" si="44"/>
        <v>279.26945811007477</v>
      </c>
      <c r="W103" s="41">
        <f t="shared" si="45"/>
        <v>487.77895453624961</v>
      </c>
      <c r="X103" s="41">
        <f t="shared" si="46"/>
        <v>557.46166232714245</v>
      </c>
      <c r="Y103" s="140" t="s">
        <v>213</v>
      </c>
      <c r="Z103" s="43"/>
    </row>
    <row r="104" spans="1:26" x14ac:dyDescent="0.25">
      <c r="A104" s="136" t="s">
        <v>48</v>
      </c>
      <c r="B104" s="135" t="s">
        <v>244</v>
      </c>
      <c r="C104" s="37">
        <f>Datos!C86</f>
        <v>0</v>
      </c>
      <c r="D104" s="37">
        <f>Datos!D86</f>
        <v>6.818251395571974E-2</v>
      </c>
      <c r="E104" s="37">
        <f>Datos!E86</f>
        <v>0</v>
      </c>
      <c r="F104" s="37">
        <f>Datos!F86</f>
        <v>0.11328301245370812</v>
      </c>
      <c r="G104" s="37">
        <f>Datos!G86</f>
        <v>0</v>
      </c>
      <c r="H104" s="37">
        <f>Datos!H86</f>
        <v>0.25256765800093695</v>
      </c>
      <c r="I104" s="37">
        <f>Datos!I86</f>
        <v>0</v>
      </c>
      <c r="J104" s="37">
        <f>Datos!J86</f>
        <v>0.42436886474774788</v>
      </c>
      <c r="K104" s="37">
        <f>Datos!K86</f>
        <v>0</v>
      </c>
      <c r="L104" s="37">
        <f>Datos!L86</f>
        <v>0.62140325587320611</v>
      </c>
      <c r="M104" s="144">
        <v>2500</v>
      </c>
      <c r="N104" s="144">
        <v>1</v>
      </c>
      <c r="O104" s="41">
        <f t="shared" si="52"/>
        <v>170.45628488929935</v>
      </c>
      <c r="P104" s="41">
        <f t="shared" si="53"/>
        <v>283.20753113427031</v>
      </c>
      <c r="Q104" s="41">
        <f t="shared" si="54"/>
        <v>631.41914500234236</v>
      </c>
      <c r="R104" s="41">
        <f t="shared" si="55"/>
        <v>1060.9221618693698</v>
      </c>
      <c r="S104" s="41">
        <f t="shared" si="56"/>
        <v>1553.5081396830153</v>
      </c>
      <c r="T104" s="41">
        <f t="shared" si="42"/>
        <v>170.45628488929935</v>
      </c>
      <c r="U104" s="41">
        <f t="shared" si="43"/>
        <v>283.20753113427031</v>
      </c>
      <c r="V104" s="41">
        <f t="shared" si="44"/>
        <v>631.41914500234236</v>
      </c>
      <c r="W104" s="41">
        <f t="shared" si="45"/>
        <v>1060.9221618693698</v>
      </c>
      <c r="X104" s="41">
        <f t="shared" si="46"/>
        <v>1553.5081396830153</v>
      </c>
      <c r="Y104" s="142" t="s">
        <v>85</v>
      </c>
      <c r="Z104" s="43"/>
    </row>
    <row r="105" spans="1:26" s="4" customFormat="1" ht="15" customHeight="1" x14ac:dyDescent="0.25">
      <c r="A105" s="180"/>
      <c r="B105" s="95"/>
      <c r="C105" s="37">
        <f>C99</f>
        <v>4.7578749412317822E-2</v>
      </c>
      <c r="D105" s="37">
        <f t="shared" ref="D105:L105" si="58">D99</f>
        <v>2.0214699176883854E-2</v>
      </c>
      <c r="E105" s="37">
        <f t="shared" si="58"/>
        <v>5.9473436765397278E-2</v>
      </c>
      <c r="F105" s="37">
        <f t="shared" si="58"/>
        <v>5.0853708186201808E-2</v>
      </c>
      <c r="G105" s="37">
        <f t="shared" si="58"/>
        <v>7.1368124118476733E-2</v>
      </c>
      <c r="H105" s="37">
        <f t="shared" si="58"/>
        <v>6.102444982344217E-2</v>
      </c>
      <c r="I105" s="37">
        <f t="shared" si="58"/>
        <v>8.3262811471556189E-2</v>
      </c>
      <c r="J105" s="37">
        <f t="shared" si="58"/>
        <v>0.14704079816421481</v>
      </c>
      <c r="K105" s="37">
        <f t="shared" si="58"/>
        <v>0.17998417721518986</v>
      </c>
      <c r="L105" s="37">
        <f t="shared" si="58"/>
        <v>0.16804662647338833</v>
      </c>
      <c r="M105" s="166"/>
      <c r="N105" s="166"/>
      <c r="O105" s="167"/>
      <c r="P105" s="167"/>
      <c r="Q105" s="167"/>
      <c r="R105" s="167"/>
      <c r="S105" s="167"/>
      <c r="T105" s="167"/>
      <c r="U105" s="167"/>
      <c r="V105" s="167"/>
      <c r="W105" s="167"/>
      <c r="X105" s="167"/>
      <c r="Y105" s="185"/>
      <c r="Z105" s="169"/>
    </row>
    <row r="106" spans="1:26" s="4" customFormat="1" ht="15" customHeight="1" x14ac:dyDescent="0.25">
      <c r="A106" s="180"/>
      <c r="B106" s="95"/>
      <c r="C106" s="37">
        <f>C100</f>
        <v>2.9976019184652279E-2</v>
      </c>
      <c r="D106" s="37">
        <f t="shared" ref="D106:L106" si="59">D100</f>
        <v>3.1639288306640985E-2</v>
      </c>
      <c r="E106" s="37">
        <f t="shared" si="59"/>
        <v>1.0594734367654</v>
      </c>
      <c r="F106" s="37">
        <f t="shared" si="59"/>
        <v>3.9549110383301236E-2</v>
      </c>
      <c r="G106" s="37">
        <f t="shared" si="59"/>
        <v>1.07136812411848</v>
      </c>
      <c r="H106" s="37">
        <f t="shared" si="59"/>
        <v>4.7458932459961474E-2</v>
      </c>
      <c r="I106" s="37">
        <f t="shared" si="59"/>
        <v>1.0832628114715599</v>
      </c>
      <c r="J106" s="37">
        <f t="shared" si="59"/>
        <v>9.1964080011148003E-2</v>
      </c>
      <c r="K106" s="37">
        <f t="shared" si="59"/>
        <v>1.17998417721519</v>
      </c>
      <c r="L106" s="37">
        <f t="shared" si="59"/>
        <v>0.10795822541769297</v>
      </c>
      <c r="M106" s="166"/>
      <c r="N106" s="166"/>
      <c r="O106" s="167"/>
      <c r="P106" s="167"/>
      <c r="Q106" s="167"/>
      <c r="R106" s="167"/>
      <c r="S106" s="167"/>
      <c r="T106" s="167"/>
      <c r="U106" s="167"/>
      <c r="V106" s="167"/>
      <c r="W106" s="167"/>
      <c r="X106" s="167"/>
      <c r="Y106" s="185"/>
      <c r="Z106" s="169"/>
    </row>
    <row r="107" spans="1:26" s="4" customFormat="1" ht="15" customHeight="1" x14ac:dyDescent="0.25">
      <c r="A107" s="180"/>
      <c r="B107" s="95"/>
      <c r="C107" s="37">
        <f>C101</f>
        <v>0</v>
      </c>
      <c r="D107" s="37">
        <f t="shared" ref="D107:L107" si="60">D101</f>
        <v>4.3635426256541009E-2</v>
      </c>
      <c r="E107" s="37">
        <f t="shared" si="60"/>
        <v>2.0594734367654</v>
      </c>
      <c r="F107" s="37">
        <f t="shared" si="60"/>
        <v>5.4544282820676256E-2</v>
      </c>
      <c r="G107" s="37">
        <f t="shared" si="60"/>
        <v>2.07136812411848</v>
      </c>
      <c r="H107" s="37">
        <f t="shared" si="60"/>
        <v>6.545313938481151E-2</v>
      </c>
      <c r="I107" s="37">
        <f t="shared" si="60"/>
        <v>2.0832628114715601</v>
      </c>
      <c r="J107" s="37">
        <f t="shared" si="60"/>
        <v>0.10950251840392226</v>
      </c>
      <c r="K107" s="37">
        <f t="shared" si="60"/>
        <v>2.1799841772151902</v>
      </c>
      <c r="L107" s="37">
        <f t="shared" si="60"/>
        <v>0.16625264941496601</v>
      </c>
      <c r="M107" s="166"/>
      <c r="N107" s="166"/>
      <c r="O107" s="167"/>
      <c r="P107" s="167"/>
      <c r="Q107" s="167"/>
      <c r="R107" s="167"/>
      <c r="S107" s="167"/>
      <c r="T107" s="167"/>
      <c r="U107" s="167"/>
      <c r="V107" s="167"/>
      <c r="W107" s="167"/>
      <c r="X107" s="167"/>
      <c r="Y107" s="185"/>
      <c r="Z107" s="169"/>
    </row>
    <row r="108" spans="1:26" s="4" customFormat="1" x14ac:dyDescent="0.25">
      <c r="A108" s="180"/>
      <c r="B108" s="95"/>
      <c r="C108" s="37">
        <f>AVERAGE(C105:C107)</f>
        <v>2.5851589532323371E-2</v>
      </c>
      <c r="D108" s="37">
        <f>AVERAGE(D105:D107)</f>
        <v>3.1829804580021943E-2</v>
      </c>
      <c r="E108" s="37">
        <f t="shared" ref="E108:L108" si="61">AVERAGE(E105:E107)</f>
        <v>1.0594734367653991</v>
      </c>
      <c r="F108" s="37">
        <f t="shared" si="61"/>
        <v>4.8315700463393098E-2</v>
      </c>
      <c r="G108" s="37">
        <f t="shared" si="61"/>
        <v>1.0713681241184789</v>
      </c>
      <c r="H108" s="37">
        <f t="shared" si="61"/>
        <v>5.797884055607172E-2</v>
      </c>
      <c r="I108" s="37">
        <f t="shared" si="61"/>
        <v>1.0832628114715588</v>
      </c>
      <c r="J108" s="37">
        <f t="shared" si="61"/>
        <v>0.11616913219309503</v>
      </c>
      <c r="K108" s="37">
        <f t="shared" si="61"/>
        <v>1.17998417721519</v>
      </c>
      <c r="L108" s="37">
        <f t="shared" si="61"/>
        <v>0.14741916710201577</v>
      </c>
      <c r="M108" s="166"/>
      <c r="N108" s="166"/>
      <c r="O108" s="167"/>
      <c r="P108" s="167"/>
      <c r="Q108" s="167"/>
      <c r="R108" s="167"/>
      <c r="S108" s="167"/>
      <c r="T108" s="167"/>
      <c r="U108" s="167"/>
      <c r="V108" s="167"/>
      <c r="W108" s="167"/>
      <c r="X108" s="167"/>
      <c r="Y108" s="185"/>
      <c r="Z108" s="169"/>
    </row>
    <row r="109" spans="1:26" x14ac:dyDescent="0.25">
      <c r="A109" s="39" t="s">
        <v>49</v>
      </c>
      <c r="B109" s="96" t="s">
        <v>218</v>
      </c>
      <c r="C109" s="37">
        <f>Datos!C87</f>
        <v>3.2000000000000001E-2</v>
      </c>
      <c r="D109" s="37">
        <f>Datos!D87</f>
        <v>4.9564533333333334E-2</v>
      </c>
      <c r="E109" s="37">
        <f>Datos!E87</f>
        <v>0.04</v>
      </c>
      <c r="F109" s="37">
        <f>Datos!F87</f>
        <v>6.1955666666666666E-2</v>
      </c>
      <c r="G109" s="37">
        <f>Datos!G87</f>
        <v>4.8000000000000001E-2</v>
      </c>
      <c r="H109" s="37">
        <f>Datos!H87</f>
        <v>7.4346800000000005E-2</v>
      </c>
      <c r="I109" s="37">
        <f>Datos!I87</f>
        <v>5.6000000000000001E-2</v>
      </c>
      <c r="J109" s="37">
        <f>Datos!J87</f>
        <v>8.6737933333333336E-2</v>
      </c>
      <c r="K109" s="37">
        <f>Datos!K87</f>
        <v>6.4000000000000001E-2</v>
      </c>
      <c r="L109" s="37">
        <f>Datos!L87</f>
        <v>9.9129066666666668E-2</v>
      </c>
      <c r="M109" s="144">
        <v>2500</v>
      </c>
      <c r="N109" s="144">
        <v>1</v>
      </c>
      <c r="O109" s="41">
        <f t="shared" si="52"/>
        <v>123.91133333333333</v>
      </c>
      <c r="P109" s="41">
        <f t="shared" si="53"/>
        <v>154.88916666666665</v>
      </c>
      <c r="Q109" s="41">
        <f t="shared" si="54"/>
        <v>185.86700000000002</v>
      </c>
      <c r="R109" s="41">
        <f t="shared" si="55"/>
        <v>216.84483333333333</v>
      </c>
      <c r="S109" s="41">
        <f t="shared" si="56"/>
        <v>247.82266666666666</v>
      </c>
      <c r="T109" s="41">
        <f t="shared" si="42"/>
        <v>123.91133333333333</v>
      </c>
      <c r="U109" s="41">
        <f t="shared" si="43"/>
        <v>154.88916666666665</v>
      </c>
      <c r="V109" s="41">
        <f t="shared" si="44"/>
        <v>185.86700000000002</v>
      </c>
      <c r="W109" s="41">
        <f t="shared" si="45"/>
        <v>216.84483333333333</v>
      </c>
      <c r="X109" s="41">
        <f t="shared" si="46"/>
        <v>247.82266666666666</v>
      </c>
      <c r="Y109" s="139" t="s">
        <v>130</v>
      </c>
      <c r="Z109" s="43" t="s">
        <v>131</v>
      </c>
    </row>
    <row r="110" spans="1:26" x14ac:dyDescent="0.25">
      <c r="A110" s="93" t="s">
        <v>49</v>
      </c>
      <c r="B110" s="85" t="s">
        <v>214</v>
      </c>
      <c r="C110" s="37">
        <f>Datos!C88</f>
        <v>2.3631844082256638E-2</v>
      </c>
      <c r="D110" s="37">
        <f>Datos!D88</f>
        <v>3.6603166366973285E-2</v>
      </c>
      <c r="E110" s="37">
        <f>Datos!E88</f>
        <v>2.9539805102820796E-2</v>
      </c>
      <c r="F110" s="37">
        <f>Datos!F88</f>
        <v>4.5753957958716604E-2</v>
      </c>
      <c r="G110" s="37">
        <f>Datos!G88</f>
        <v>5.8196712673332089E-2</v>
      </c>
      <c r="H110" s="37">
        <f>Datos!H88</f>
        <v>9.0140403287118462E-2</v>
      </c>
      <c r="I110" s="37">
        <f>Datos!I88</f>
        <v>6.7896164785554103E-2</v>
      </c>
      <c r="J110" s="37">
        <f>Datos!J88</f>
        <v>0.10516380383497152</v>
      </c>
      <c r="K110" s="37">
        <f>Datos!K88</f>
        <v>7.759561689777611E-2</v>
      </c>
      <c r="L110" s="37">
        <f>Datos!L88</f>
        <v>0.12018720438282458</v>
      </c>
      <c r="M110" s="144">
        <v>2500</v>
      </c>
      <c r="N110" s="144">
        <v>1</v>
      </c>
      <c r="O110" s="41">
        <f t="shared" si="52"/>
        <v>91.507915917433209</v>
      </c>
      <c r="P110" s="41">
        <f t="shared" si="53"/>
        <v>114.38489489679151</v>
      </c>
      <c r="Q110" s="41">
        <f t="shared" si="54"/>
        <v>225.35100821779616</v>
      </c>
      <c r="R110" s="41">
        <f t="shared" si="55"/>
        <v>262.90950958742883</v>
      </c>
      <c r="S110" s="41">
        <f t="shared" si="56"/>
        <v>300.46801095706144</v>
      </c>
      <c r="T110" s="41">
        <f t="shared" si="42"/>
        <v>91.507915917433209</v>
      </c>
      <c r="U110" s="41">
        <f t="shared" si="43"/>
        <v>114.38489489679151</v>
      </c>
      <c r="V110" s="41">
        <f t="shared" si="44"/>
        <v>225.35100821779616</v>
      </c>
      <c r="W110" s="41">
        <f t="shared" si="45"/>
        <v>262.90950958742883</v>
      </c>
      <c r="X110" s="41">
        <f t="shared" si="46"/>
        <v>300.46801095706144</v>
      </c>
      <c r="Y110" s="140" t="s">
        <v>213</v>
      </c>
      <c r="Z110" s="43"/>
    </row>
    <row r="111" spans="1:26" s="4" customFormat="1" x14ac:dyDescent="0.25">
      <c r="A111" s="180"/>
      <c r="B111" s="95"/>
      <c r="C111" s="37">
        <f>C110</f>
        <v>2.3631844082256638E-2</v>
      </c>
      <c r="D111" s="37">
        <f t="shared" ref="D111:L111" si="62">D110</f>
        <v>3.6603166366973285E-2</v>
      </c>
      <c r="E111" s="37">
        <f t="shared" si="62"/>
        <v>2.9539805102820796E-2</v>
      </c>
      <c r="F111" s="37">
        <f t="shared" si="62"/>
        <v>4.5753957958716604E-2</v>
      </c>
      <c r="G111" s="37">
        <f t="shared" si="62"/>
        <v>5.8196712673332089E-2</v>
      </c>
      <c r="H111" s="37">
        <f t="shared" si="62"/>
        <v>9.0140403287118462E-2</v>
      </c>
      <c r="I111" s="37">
        <f t="shared" si="62"/>
        <v>6.7896164785554103E-2</v>
      </c>
      <c r="J111" s="37">
        <f t="shared" si="62"/>
        <v>0.10516380383497152</v>
      </c>
      <c r="K111" s="37">
        <f t="shared" si="62"/>
        <v>7.759561689777611E-2</v>
      </c>
      <c r="L111" s="37">
        <f t="shared" si="62"/>
        <v>0.12018720438282458</v>
      </c>
      <c r="M111" s="166"/>
      <c r="N111" s="166"/>
      <c r="O111" s="167"/>
      <c r="P111" s="167"/>
      <c r="Q111" s="167"/>
      <c r="R111" s="167"/>
      <c r="S111" s="167"/>
      <c r="T111" s="167"/>
      <c r="U111" s="167"/>
      <c r="V111" s="167"/>
      <c r="W111" s="167"/>
      <c r="X111" s="167"/>
      <c r="Y111" s="168"/>
      <c r="Z111" s="169"/>
    </row>
    <row r="112" spans="1:26" x14ac:dyDescent="0.25">
      <c r="A112" s="170" t="s">
        <v>50</v>
      </c>
      <c r="B112" s="171"/>
      <c r="C112" s="37">
        <f>Datos!C89</f>
        <v>0</v>
      </c>
      <c r="D112" s="37">
        <f>Datos!D89</f>
        <v>0</v>
      </c>
      <c r="E112" s="37">
        <f>Datos!E89</f>
        <v>0</v>
      </c>
      <c r="F112" s="37">
        <f>Datos!F89</f>
        <v>0</v>
      </c>
      <c r="G112" s="37">
        <f>Datos!G89</f>
        <v>0</v>
      </c>
      <c r="H112" s="37">
        <f>Datos!H89</f>
        <v>0</v>
      </c>
      <c r="I112" s="37">
        <f>Datos!I89</f>
        <v>0</v>
      </c>
      <c r="J112" s="37">
        <f>Datos!J89</f>
        <v>0</v>
      </c>
      <c r="K112" s="37">
        <f>Datos!K89</f>
        <v>0</v>
      </c>
      <c r="L112" s="37">
        <f>Datos!L89</f>
        <v>0</v>
      </c>
      <c r="M112" s="144">
        <v>2500</v>
      </c>
      <c r="N112" s="144">
        <v>1</v>
      </c>
      <c r="O112" s="41">
        <f t="shared" si="52"/>
        <v>0</v>
      </c>
      <c r="P112" s="41">
        <f t="shared" si="53"/>
        <v>0</v>
      </c>
      <c r="Q112" s="41">
        <f t="shared" si="54"/>
        <v>0</v>
      </c>
      <c r="R112" s="41">
        <f t="shared" si="55"/>
        <v>0</v>
      </c>
      <c r="S112" s="41">
        <f t="shared" si="56"/>
        <v>0</v>
      </c>
      <c r="T112" s="41">
        <f t="shared" si="42"/>
        <v>0</v>
      </c>
      <c r="U112" s="41">
        <f t="shared" si="43"/>
        <v>0</v>
      </c>
      <c r="V112" s="41">
        <f t="shared" si="44"/>
        <v>0</v>
      </c>
      <c r="W112" s="41">
        <f t="shared" si="45"/>
        <v>0</v>
      </c>
      <c r="X112" s="41">
        <f t="shared" si="46"/>
        <v>0</v>
      </c>
      <c r="Y112" s="141"/>
      <c r="Z112" s="43"/>
    </row>
    <row r="113" spans="1:26" x14ac:dyDescent="0.25">
      <c r="A113" s="170" t="s">
        <v>51</v>
      </c>
      <c r="B113" s="171"/>
      <c r="C113" s="37">
        <f>Datos!C90</f>
        <v>0</v>
      </c>
      <c r="D113" s="37">
        <f>Datos!D90</f>
        <v>0</v>
      </c>
      <c r="E113" s="37">
        <f>Datos!E90</f>
        <v>0</v>
      </c>
      <c r="F113" s="37">
        <f>Datos!F90</f>
        <v>0</v>
      </c>
      <c r="G113" s="37">
        <f>Datos!G90</f>
        <v>0</v>
      </c>
      <c r="H113" s="37">
        <f>Datos!H90</f>
        <v>0</v>
      </c>
      <c r="I113" s="37">
        <f>Datos!I90</f>
        <v>0</v>
      </c>
      <c r="J113" s="37">
        <f>Datos!J90</f>
        <v>0</v>
      </c>
      <c r="K113" s="37">
        <f>Datos!K90</f>
        <v>0</v>
      </c>
      <c r="L113" s="37">
        <f>Datos!L90</f>
        <v>0</v>
      </c>
      <c r="M113" s="144">
        <v>2500</v>
      </c>
      <c r="N113" s="144">
        <v>1</v>
      </c>
      <c r="O113" s="41">
        <f t="shared" si="52"/>
        <v>0</v>
      </c>
      <c r="P113" s="41">
        <f t="shared" si="53"/>
        <v>0</v>
      </c>
      <c r="Q113" s="41">
        <f t="shared" si="54"/>
        <v>0</v>
      </c>
      <c r="R113" s="41">
        <f t="shared" si="55"/>
        <v>0</v>
      </c>
      <c r="S113" s="41">
        <f t="shared" si="56"/>
        <v>0</v>
      </c>
      <c r="T113" s="41">
        <f t="shared" si="42"/>
        <v>0</v>
      </c>
      <c r="U113" s="41">
        <f t="shared" si="43"/>
        <v>0</v>
      </c>
      <c r="V113" s="41">
        <f t="shared" si="44"/>
        <v>0</v>
      </c>
      <c r="W113" s="41">
        <f t="shared" si="45"/>
        <v>0</v>
      </c>
      <c r="X113" s="41">
        <f t="shared" si="46"/>
        <v>0</v>
      </c>
      <c r="Y113" s="141"/>
      <c r="Z113" s="43"/>
    </row>
    <row r="114" spans="1:26" x14ac:dyDescent="0.25">
      <c r="A114" s="92" t="s">
        <v>110</v>
      </c>
      <c r="B114" s="85" t="s">
        <v>214</v>
      </c>
      <c r="C114" s="37">
        <f>Datos!C91</f>
        <v>0.13331567677235068</v>
      </c>
      <c r="D114" s="37">
        <f>Datos!D91</f>
        <v>0.20654286732427818</v>
      </c>
      <c r="E114" s="37">
        <f>Datos!E91</f>
        <v>0.29653007932906505</v>
      </c>
      <c r="F114" s="37">
        <f>Datos!F91</f>
        <v>0.45940713286933604</v>
      </c>
      <c r="G114" s="37">
        <f>Datos!G91</f>
        <v>0.43352669931402832</v>
      </c>
      <c r="H114" s="37">
        <f>Datos!H91</f>
        <v>0.67165279962424007</v>
      </c>
      <c r="I114" s="37">
        <f>Datos!I91</f>
        <v>0.59561593058269391</v>
      </c>
      <c r="J114" s="37">
        <f>Datos!J91</f>
        <v>0.92277386354672075</v>
      </c>
      <c r="K114" s="37">
        <f>Datos!K91</f>
        <v>0.81528022188747196</v>
      </c>
      <c r="L114" s="37">
        <f>Datos!L91</f>
        <v>1.2630946245650829</v>
      </c>
      <c r="M114" s="144">
        <v>2500</v>
      </c>
      <c r="N114" s="144">
        <v>1</v>
      </c>
      <c r="O114" s="41">
        <f t="shared" si="52"/>
        <v>516.35716831069544</v>
      </c>
      <c r="P114" s="41">
        <f t="shared" si="53"/>
        <v>1148.5178321733401</v>
      </c>
      <c r="Q114" s="41">
        <f t="shared" si="54"/>
        <v>1679.1319990606003</v>
      </c>
      <c r="R114" s="41">
        <f t="shared" si="55"/>
        <v>2306.9346588668018</v>
      </c>
      <c r="S114" s="41">
        <f t="shared" si="56"/>
        <v>3157.7365614127075</v>
      </c>
      <c r="T114" s="41">
        <f t="shared" si="42"/>
        <v>516.35716831069544</v>
      </c>
      <c r="U114" s="41">
        <f t="shared" si="43"/>
        <v>1148.5178321733401</v>
      </c>
      <c r="V114" s="41">
        <f t="shared" si="44"/>
        <v>1679.1319990606003</v>
      </c>
      <c r="W114" s="41">
        <f t="shared" si="45"/>
        <v>2306.9346588668018</v>
      </c>
      <c r="X114" s="41">
        <f t="shared" si="46"/>
        <v>3157.7365614127075</v>
      </c>
      <c r="Y114" s="140" t="s">
        <v>213</v>
      </c>
      <c r="Z114" s="43"/>
    </row>
    <row r="115" spans="1:26" x14ac:dyDescent="0.25">
      <c r="A115" s="39" t="s">
        <v>52</v>
      </c>
      <c r="B115" s="96" t="s">
        <v>218</v>
      </c>
      <c r="C115" s="37">
        <f>Datos!C92</f>
        <v>0.218</v>
      </c>
      <c r="D115" s="37">
        <f>Datos!D92</f>
        <v>0.33774231333333332</v>
      </c>
      <c r="E115" s="37">
        <f>Datos!E92</f>
        <v>0.38100000000000001</v>
      </c>
      <c r="F115" s="37">
        <f>Datos!F92</f>
        <v>0.59027441000000003</v>
      </c>
      <c r="G115" s="37">
        <f>Datos!G92</f>
        <v>0.57399999999999995</v>
      </c>
      <c r="H115" s="37">
        <f>Datos!H92</f>
        <v>0.88928480666666643</v>
      </c>
      <c r="I115" s="37">
        <f>Datos!I92</f>
        <v>0.79300000000000004</v>
      </c>
      <c r="J115" s="37">
        <f>Datos!J92</f>
        <v>1.228576396666667</v>
      </c>
      <c r="K115" s="37">
        <f>Datos!K92</f>
        <v>1.036</v>
      </c>
      <c r="L115" s="37">
        <f>Datos!L92</f>
        <v>1.6050506266666669</v>
      </c>
      <c r="M115" s="144">
        <v>2500</v>
      </c>
      <c r="N115" s="144">
        <v>1</v>
      </c>
      <c r="O115" s="41">
        <f t="shared" si="52"/>
        <v>844.35578333333331</v>
      </c>
      <c r="P115" s="41">
        <f t="shared" si="53"/>
        <v>1475.686025</v>
      </c>
      <c r="Q115" s="41">
        <f t="shared" si="54"/>
        <v>2223.2120166666659</v>
      </c>
      <c r="R115" s="41">
        <f t="shared" si="55"/>
        <v>3071.4409916666673</v>
      </c>
      <c r="S115" s="41">
        <f t="shared" si="56"/>
        <v>4012.6265666666673</v>
      </c>
      <c r="T115" s="41">
        <f t="shared" si="42"/>
        <v>844.35578333333331</v>
      </c>
      <c r="U115" s="41">
        <f t="shared" si="43"/>
        <v>1475.686025</v>
      </c>
      <c r="V115" s="41">
        <f t="shared" si="44"/>
        <v>2223.2120166666659</v>
      </c>
      <c r="W115" s="41">
        <f t="shared" si="45"/>
        <v>3071.4409916666673</v>
      </c>
      <c r="X115" s="41">
        <f t="shared" si="46"/>
        <v>4012.6265666666673</v>
      </c>
      <c r="Y115" s="139" t="s">
        <v>130</v>
      </c>
      <c r="Z115" s="43"/>
    </row>
    <row r="116" spans="1:26" x14ac:dyDescent="0.25">
      <c r="A116" s="93" t="s">
        <v>52</v>
      </c>
      <c r="B116" s="85" t="s">
        <v>214</v>
      </c>
      <c r="C116" s="37">
        <f>Datos!C93</f>
        <v>0.18430681403256532</v>
      </c>
      <c r="D116" s="37">
        <f>Datos!D93</f>
        <v>0.28554224648832599</v>
      </c>
      <c r="E116" s="37">
        <f>Datos!E93</f>
        <v>0.46475194136522141</v>
      </c>
      <c r="F116" s="37">
        <f>Datos!F93</f>
        <v>0.72002933854517226</v>
      </c>
      <c r="G116" s="37">
        <f>Datos!G93</f>
        <v>0.64962248187758487</v>
      </c>
      <c r="H116" s="37">
        <f>Datos!H93</f>
        <v>1.0064449533150317</v>
      </c>
      <c r="I116" s="37">
        <f>Datos!I93</f>
        <v>0.93269311968610946</v>
      </c>
      <c r="J116" s="37">
        <f>Datos!J93</f>
        <v>1.44499968749023</v>
      </c>
      <c r="K116" s="37">
        <f>Datos!K93</f>
        <v>1.2235395364888055</v>
      </c>
      <c r="L116" s="37">
        <f>Datos!L93</f>
        <v>1.8956012546262551</v>
      </c>
      <c r="M116" s="144">
        <v>2500</v>
      </c>
      <c r="N116" s="144">
        <v>1</v>
      </c>
      <c r="O116" s="41">
        <f t="shared" si="52"/>
        <v>713.85561622081502</v>
      </c>
      <c r="P116" s="41">
        <f t="shared" si="53"/>
        <v>1800.0733463629306</v>
      </c>
      <c r="Q116" s="41">
        <f t="shared" si="54"/>
        <v>2516.1123832875792</v>
      </c>
      <c r="R116" s="41">
        <f t="shared" si="55"/>
        <v>3612.4992187255748</v>
      </c>
      <c r="S116" s="41">
        <f t="shared" si="56"/>
        <v>4739.0031365656378</v>
      </c>
      <c r="T116" s="41">
        <f t="shared" si="42"/>
        <v>713.85561622081502</v>
      </c>
      <c r="U116" s="41">
        <f t="shared" si="43"/>
        <v>1800.0733463629306</v>
      </c>
      <c r="V116" s="41">
        <f t="shared" si="44"/>
        <v>2516.1123832875792</v>
      </c>
      <c r="W116" s="41">
        <f t="shared" si="45"/>
        <v>3612.4992187255748</v>
      </c>
      <c r="X116" s="41">
        <f t="shared" si="46"/>
        <v>4739.0031365656378</v>
      </c>
      <c r="Y116" s="140" t="s">
        <v>213</v>
      </c>
      <c r="Z116" s="43"/>
    </row>
    <row r="117" spans="1:26" s="4" customFormat="1" x14ac:dyDescent="0.25">
      <c r="A117" s="180"/>
      <c r="B117" s="95"/>
      <c r="C117" s="37">
        <f>C116</f>
        <v>0.18430681403256532</v>
      </c>
      <c r="D117" s="37">
        <f t="shared" ref="D117:L117" si="63">D116</f>
        <v>0.28554224648832599</v>
      </c>
      <c r="E117" s="37">
        <f t="shared" si="63"/>
        <v>0.46475194136522141</v>
      </c>
      <c r="F117" s="37">
        <f t="shared" si="63"/>
        <v>0.72002933854517226</v>
      </c>
      <c r="G117" s="37">
        <f t="shared" si="63"/>
        <v>0.64962248187758487</v>
      </c>
      <c r="H117" s="37">
        <f t="shared" si="63"/>
        <v>1.0064449533150317</v>
      </c>
      <c r="I117" s="37">
        <f t="shared" si="63"/>
        <v>0.93269311968610946</v>
      </c>
      <c r="J117" s="37">
        <f t="shared" si="63"/>
        <v>1.44499968749023</v>
      </c>
      <c r="K117" s="37">
        <f t="shared" si="63"/>
        <v>1.2235395364888055</v>
      </c>
      <c r="L117" s="37">
        <f t="shared" si="63"/>
        <v>1.8956012546262551</v>
      </c>
      <c r="M117" s="166"/>
      <c r="N117" s="166"/>
      <c r="O117" s="167"/>
      <c r="P117" s="167"/>
      <c r="Q117" s="167"/>
      <c r="R117" s="167"/>
      <c r="S117" s="167"/>
      <c r="T117" s="167"/>
      <c r="U117" s="167"/>
      <c r="V117" s="167"/>
      <c r="W117" s="167"/>
      <c r="X117" s="167"/>
      <c r="Y117" s="168"/>
      <c r="Z117" s="169"/>
    </row>
    <row r="118" spans="1:26" x14ac:dyDescent="0.25">
      <c r="A118" s="92" t="s">
        <v>209</v>
      </c>
      <c r="B118" s="85" t="s">
        <v>214</v>
      </c>
      <c r="C118" s="37">
        <f>Datos!C94</f>
        <v>0.21841359949394204</v>
      </c>
      <c r="D118" s="37">
        <f>Datos!D94</f>
        <v>0.33838309337864286</v>
      </c>
      <c r="E118" s="37">
        <f>Datos!E94</f>
        <v>0.51973169525491636</v>
      </c>
      <c r="F118" s="37">
        <f>Datos!F94</f>
        <v>0.80520818838555264</v>
      </c>
      <c r="G118" s="37">
        <f>Datos!G94</f>
        <v>0.75996873280127686</v>
      </c>
      <c r="H118" s="37">
        <f>Datos!H94</f>
        <v>1.1774018251252529</v>
      </c>
      <c r="I118" s="37">
        <f>Datos!I94</f>
        <v>1.0033584896898251</v>
      </c>
      <c r="J118" s="37">
        <f>Datos!J94</f>
        <v>1.5544798963783533</v>
      </c>
      <c r="K118" s="37">
        <f>Datos!K94</f>
        <v>1.3062334225151486</v>
      </c>
      <c r="L118" s="37">
        <f>Datos!L94</f>
        <v>2.0237169627228608</v>
      </c>
      <c r="M118" s="144">
        <v>2500</v>
      </c>
      <c r="N118" s="144">
        <v>1</v>
      </c>
      <c r="O118" s="41">
        <f t="shared" si="52"/>
        <v>845.95773344660711</v>
      </c>
      <c r="P118" s="41">
        <f t="shared" si="53"/>
        <v>2013.0204709638815</v>
      </c>
      <c r="Q118" s="41">
        <f t="shared" si="54"/>
        <v>2943.5045628131325</v>
      </c>
      <c r="R118" s="41">
        <f t="shared" si="55"/>
        <v>3886.1997409458831</v>
      </c>
      <c r="S118" s="41">
        <f t="shared" si="56"/>
        <v>5059.2924068071525</v>
      </c>
      <c r="T118" s="41">
        <f t="shared" si="42"/>
        <v>845.95773344660711</v>
      </c>
      <c r="U118" s="41">
        <f t="shared" si="43"/>
        <v>2013.0204709638815</v>
      </c>
      <c r="V118" s="41">
        <f t="shared" si="44"/>
        <v>2943.5045628131325</v>
      </c>
      <c r="W118" s="41">
        <f t="shared" si="45"/>
        <v>3886.1997409458831</v>
      </c>
      <c r="X118" s="41">
        <f t="shared" si="46"/>
        <v>5059.2924068071525</v>
      </c>
      <c r="Y118" s="140" t="s">
        <v>213</v>
      </c>
      <c r="Z118" s="43"/>
    </row>
    <row r="119" spans="1:26" x14ac:dyDescent="0.25">
      <c r="A119" s="170" t="s">
        <v>53</v>
      </c>
      <c r="B119" s="171"/>
      <c r="C119" s="37">
        <f>Datos!C95</f>
        <v>0</v>
      </c>
      <c r="D119" s="37">
        <f>Datos!D95</f>
        <v>0</v>
      </c>
      <c r="E119" s="37">
        <f>Datos!E95</f>
        <v>0</v>
      </c>
      <c r="F119" s="37">
        <f>Datos!F95</f>
        <v>0</v>
      </c>
      <c r="G119" s="37">
        <f>Datos!G95</f>
        <v>0</v>
      </c>
      <c r="H119" s="37">
        <f>Datos!H95</f>
        <v>0</v>
      </c>
      <c r="I119" s="37">
        <f>Datos!I95</f>
        <v>0</v>
      </c>
      <c r="J119" s="37">
        <f>Datos!J95</f>
        <v>0</v>
      </c>
      <c r="K119" s="37">
        <f>Datos!K95</f>
        <v>0</v>
      </c>
      <c r="L119" s="37">
        <f>Datos!L95</f>
        <v>0</v>
      </c>
      <c r="M119" s="144">
        <v>2500</v>
      </c>
      <c r="N119" s="144">
        <v>1</v>
      </c>
      <c r="O119" s="41">
        <f t="shared" si="52"/>
        <v>0</v>
      </c>
      <c r="P119" s="41">
        <f t="shared" si="53"/>
        <v>0</v>
      </c>
      <c r="Q119" s="41">
        <f t="shared" si="54"/>
        <v>0</v>
      </c>
      <c r="R119" s="41">
        <f t="shared" si="55"/>
        <v>0</v>
      </c>
      <c r="S119" s="41">
        <f t="shared" si="56"/>
        <v>0</v>
      </c>
      <c r="T119" s="41">
        <f t="shared" si="42"/>
        <v>0</v>
      </c>
      <c r="U119" s="41">
        <f t="shared" si="43"/>
        <v>0</v>
      </c>
      <c r="V119" s="41">
        <f t="shared" si="44"/>
        <v>0</v>
      </c>
      <c r="W119" s="41">
        <f t="shared" si="45"/>
        <v>0</v>
      </c>
      <c r="X119" s="41">
        <f t="shared" si="46"/>
        <v>0</v>
      </c>
      <c r="Y119" s="141"/>
      <c r="Z119" s="43"/>
    </row>
    <row r="120" spans="1:26" x14ac:dyDescent="0.25">
      <c r="A120" s="92" t="s">
        <v>54</v>
      </c>
      <c r="B120" s="85" t="s">
        <v>214</v>
      </c>
      <c r="C120" s="37">
        <f>Datos!C96</f>
        <v>0.1588783245860548</v>
      </c>
      <c r="D120" s="37">
        <f>Datos!D96</f>
        <v>0.35046440026022546</v>
      </c>
      <c r="E120" s="37">
        <f>Datos!E96</f>
        <v>0.33067416033692204</v>
      </c>
      <c r="F120" s="37">
        <f>Datos!F96</f>
        <v>0.72942310781520503</v>
      </c>
      <c r="G120" s="37">
        <f>Datos!G96</f>
        <v>0.52057743788682687</v>
      </c>
      <c r="H120" s="37">
        <f>Datos!H96</f>
        <v>1.1483244176532885</v>
      </c>
      <c r="I120" s="37">
        <f>Datos!I96</f>
        <v>0.61808392924993483</v>
      </c>
      <c r="J120" s="37">
        <f>Datos!J96</f>
        <v>1.3634107367347896</v>
      </c>
      <c r="K120" s="37">
        <f>Datos!K96</f>
        <v>0.84738961741264107</v>
      </c>
      <c r="L120" s="37">
        <f>Datos!L96</f>
        <v>1.8692285107299644</v>
      </c>
      <c r="M120" s="144">
        <v>2500</v>
      </c>
      <c r="N120" s="144">
        <v>1</v>
      </c>
      <c r="O120" s="41">
        <f t="shared" si="52"/>
        <v>876.16100065056366</v>
      </c>
      <c r="P120" s="41">
        <f t="shared" si="53"/>
        <v>1823.5577695380125</v>
      </c>
      <c r="Q120" s="41">
        <f t="shared" si="54"/>
        <v>2870.8110441332215</v>
      </c>
      <c r="R120" s="41">
        <f t="shared" si="55"/>
        <v>3408.5268418369742</v>
      </c>
      <c r="S120" s="41">
        <f t="shared" si="56"/>
        <v>4673.0712768249114</v>
      </c>
      <c r="T120" s="41">
        <f t="shared" si="42"/>
        <v>876.16100065056366</v>
      </c>
      <c r="U120" s="41">
        <f t="shared" si="43"/>
        <v>1823.5577695380125</v>
      </c>
      <c r="V120" s="41">
        <f t="shared" si="44"/>
        <v>2870.8110441332215</v>
      </c>
      <c r="W120" s="41">
        <f t="shared" si="45"/>
        <v>3408.5268418369742</v>
      </c>
      <c r="X120" s="41">
        <f t="shared" si="46"/>
        <v>4673.0712768249114</v>
      </c>
      <c r="Y120" s="140" t="s">
        <v>213</v>
      </c>
      <c r="Z120" s="43"/>
    </row>
    <row r="121" spans="1:26" x14ac:dyDescent="0.25">
      <c r="A121" s="92" t="s">
        <v>210</v>
      </c>
      <c r="B121" s="85" t="s">
        <v>214</v>
      </c>
      <c r="C121" s="37">
        <f>Datos!C97</f>
        <v>0.33402828749429769</v>
      </c>
      <c r="D121" s="37">
        <f>Datos!D97</f>
        <v>0.34624258854033912</v>
      </c>
      <c r="E121" s="37">
        <f>Datos!E97</f>
        <v>0.61179325145087948</v>
      </c>
      <c r="F121" s="37">
        <f>Datos!F97</f>
        <v>0.63416449134559993</v>
      </c>
      <c r="G121" s="37">
        <f>Datos!G97</f>
        <v>1.2507329958097388</v>
      </c>
      <c r="H121" s="37">
        <f>Datos!H97</f>
        <v>1.2964681323565146</v>
      </c>
      <c r="I121" s="37">
        <f>Datos!I97</f>
        <v>2.7761715625814669</v>
      </c>
      <c r="J121" s="37">
        <f>Datos!J97</f>
        <v>2.8776869027198626</v>
      </c>
      <c r="K121" s="37">
        <f>Datos!K97</f>
        <v>3.2847516435067581</v>
      </c>
      <c r="L121" s="37">
        <f>Datos!L97</f>
        <v>3.4048640619376549</v>
      </c>
      <c r="M121" s="144">
        <v>2500</v>
      </c>
      <c r="N121" s="144">
        <v>1</v>
      </c>
      <c r="O121" s="41">
        <f t="shared" si="52"/>
        <v>865.60647135084776</v>
      </c>
      <c r="P121" s="41">
        <f t="shared" si="53"/>
        <v>1585.4112283639997</v>
      </c>
      <c r="Q121" s="41">
        <f t="shared" si="54"/>
        <v>3241.1703308912865</v>
      </c>
      <c r="R121" s="41">
        <f t="shared" si="55"/>
        <v>7194.2172567996568</v>
      </c>
      <c r="S121" s="41">
        <f t="shared" si="56"/>
        <v>8512.1601548441377</v>
      </c>
      <c r="T121" s="41">
        <f t="shared" si="42"/>
        <v>865.60647135084776</v>
      </c>
      <c r="U121" s="41">
        <f t="shared" si="43"/>
        <v>1585.4112283639997</v>
      </c>
      <c r="V121" s="41">
        <f t="shared" si="44"/>
        <v>3241.1703308912865</v>
      </c>
      <c r="W121" s="41">
        <f t="shared" si="45"/>
        <v>7194.2172567996568</v>
      </c>
      <c r="X121" s="41">
        <f t="shared" si="46"/>
        <v>8512.1601548441377</v>
      </c>
      <c r="Y121" s="140" t="s">
        <v>213</v>
      </c>
      <c r="Z121" s="43"/>
    </row>
    <row r="122" spans="1:26" x14ac:dyDescent="0.25">
      <c r="A122" s="170" t="s">
        <v>55</v>
      </c>
      <c r="B122" s="171"/>
      <c r="C122" s="37">
        <f>Datos!C98</f>
        <v>0</v>
      </c>
      <c r="D122" s="37">
        <f>Datos!D98</f>
        <v>0</v>
      </c>
      <c r="E122" s="37">
        <f>Datos!E98</f>
        <v>0</v>
      </c>
      <c r="F122" s="37">
        <f>Datos!F98</f>
        <v>0</v>
      </c>
      <c r="G122" s="37">
        <f>Datos!G98</f>
        <v>0</v>
      </c>
      <c r="H122" s="37">
        <f>Datos!H98</f>
        <v>0</v>
      </c>
      <c r="I122" s="37">
        <f>Datos!I98</f>
        <v>0</v>
      </c>
      <c r="J122" s="37">
        <f>Datos!J98</f>
        <v>0</v>
      </c>
      <c r="K122" s="37">
        <f>Datos!K98</f>
        <v>0</v>
      </c>
      <c r="L122" s="37">
        <f>Datos!L98</f>
        <v>0</v>
      </c>
      <c r="M122" s="144">
        <v>2500</v>
      </c>
      <c r="N122" s="144">
        <v>1</v>
      </c>
      <c r="O122" s="41">
        <f t="shared" si="52"/>
        <v>0</v>
      </c>
      <c r="P122" s="41">
        <f t="shared" si="53"/>
        <v>0</v>
      </c>
      <c r="Q122" s="41">
        <f t="shared" si="54"/>
        <v>0</v>
      </c>
      <c r="R122" s="41">
        <f t="shared" si="55"/>
        <v>0</v>
      </c>
      <c r="S122" s="41">
        <f t="shared" si="56"/>
        <v>0</v>
      </c>
      <c r="T122" s="41">
        <f t="shared" si="42"/>
        <v>0</v>
      </c>
      <c r="U122" s="41">
        <f t="shared" si="43"/>
        <v>0</v>
      </c>
      <c r="V122" s="41">
        <f t="shared" si="44"/>
        <v>0</v>
      </c>
      <c r="W122" s="41">
        <f t="shared" si="45"/>
        <v>0</v>
      </c>
      <c r="X122" s="41">
        <f t="shared" si="46"/>
        <v>0</v>
      </c>
      <c r="Y122" s="141"/>
      <c r="Z122" s="43"/>
    </row>
    <row r="123" spans="1:26" x14ac:dyDescent="0.25">
      <c r="A123" s="92" t="s">
        <v>180</v>
      </c>
      <c r="B123" s="85" t="s">
        <v>214</v>
      </c>
      <c r="C123" s="37">
        <f>Datos!C99</f>
        <v>1.7875108881303933E-2</v>
      </c>
      <c r="D123" s="37">
        <f>Datos!D99</f>
        <v>4.8828839094095237E-2</v>
      </c>
      <c r="E123" s="37">
        <f>Datos!E99</f>
        <v>2.2343886101629917E-2</v>
      </c>
      <c r="F123" s="37">
        <f>Datos!F99</f>
        <v>6.1036048867619055E-2</v>
      </c>
      <c r="G123" s="37">
        <f>Datos!G99</f>
        <v>4.6570343702280768E-2</v>
      </c>
      <c r="H123" s="37">
        <f>Datos!H99</f>
        <v>0.12721465554673028</v>
      </c>
      <c r="I123" s="37">
        <f>Datos!I99</f>
        <v>5.4332067652660895E-2</v>
      </c>
      <c r="J123" s="37">
        <f>Datos!J99</f>
        <v>0.148417098137852</v>
      </c>
      <c r="K123" s="37">
        <f>Datos!K99</f>
        <v>6.2093791603041029E-2</v>
      </c>
      <c r="L123" s="37">
        <f>Datos!L99</f>
        <v>0.16961954072897373</v>
      </c>
      <c r="M123" s="144">
        <v>2500</v>
      </c>
      <c r="N123" s="144">
        <v>1</v>
      </c>
      <c r="O123" s="41">
        <f t="shared" si="52"/>
        <v>122.07209773523809</v>
      </c>
      <c r="P123" s="41">
        <f t="shared" si="53"/>
        <v>152.59012216904765</v>
      </c>
      <c r="Q123" s="41">
        <f t="shared" si="54"/>
        <v>318.03663886682568</v>
      </c>
      <c r="R123" s="41">
        <f t="shared" si="55"/>
        <v>371.04274534463002</v>
      </c>
      <c r="S123" s="41">
        <f t="shared" si="56"/>
        <v>424.0488518224343</v>
      </c>
      <c r="T123" s="41">
        <f t="shared" si="42"/>
        <v>122.07209773523809</v>
      </c>
      <c r="U123" s="41">
        <f t="shared" si="43"/>
        <v>152.59012216904765</v>
      </c>
      <c r="V123" s="41">
        <f t="shared" si="44"/>
        <v>318.03663886682568</v>
      </c>
      <c r="W123" s="41">
        <f t="shared" si="45"/>
        <v>371.04274534463002</v>
      </c>
      <c r="X123" s="41">
        <f t="shared" si="46"/>
        <v>424.0488518224343</v>
      </c>
      <c r="Y123" s="140" t="s">
        <v>213</v>
      </c>
      <c r="Z123" s="43"/>
    </row>
    <row r="124" spans="1:26" x14ac:dyDescent="0.25">
      <c r="A124" s="39" t="s">
        <v>57</v>
      </c>
      <c r="B124" s="96" t="s">
        <v>218</v>
      </c>
      <c r="C124" s="37">
        <f>Datos!C100</f>
        <v>3.5333333333333328E-2</v>
      </c>
      <c r="D124" s="37">
        <f>Datos!D100</f>
        <v>9.7572823333333336E-2</v>
      </c>
      <c r="E124" s="37">
        <f>Datos!E100</f>
        <v>4.4166666666666667E-2</v>
      </c>
      <c r="F124" s="37">
        <f>Datos!F100</f>
        <v>0.12196602916666668</v>
      </c>
      <c r="G124" s="37">
        <f>Datos!G100</f>
        <v>5.2999999999999999E-2</v>
      </c>
      <c r="H124" s="37">
        <f>Datos!H100</f>
        <v>0.146359235</v>
      </c>
      <c r="I124" s="37">
        <f>Datos!I100</f>
        <v>6.183333333333333E-2</v>
      </c>
      <c r="J124" s="37">
        <f>Datos!J100</f>
        <v>0.17075244083333332</v>
      </c>
      <c r="K124" s="37">
        <f>Datos!K100</f>
        <v>7.0666666666666655E-2</v>
      </c>
      <c r="L124" s="37">
        <f>Datos!L100</f>
        <v>0.19514564666666667</v>
      </c>
      <c r="M124" s="144">
        <v>2500</v>
      </c>
      <c r="N124" s="144">
        <v>1</v>
      </c>
      <c r="O124" s="41">
        <f t="shared" si="52"/>
        <v>243.93205833333334</v>
      </c>
      <c r="P124" s="41">
        <f t="shared" si="53"/>
        <v>304.9150729166667</v>
      </c>
      <c r="Q124" s="41">
        <f t="shared" si="54"/>
        <v>365.89808750000003</v>
      </c>
      <c r="R124" s="41">
        <f t="shared" si="55"/>
        <v>426.8811020833333</v>
      </c>
      <c r="S124" s="41">
        <f t="shared" si="56"/>
        <v>487.86411666666669</v>
      </c>
      <c r="T124" s="41">
        <f t="shared" si="42"/>
        <v>243.93205833333334</v>
      </c>
      <c r="U124" s="41">
        <f t="shared" si="43"/>
        <v>304.9150729166667</v>
      </c>
      <c r="V124" s="41">
        <f t="shared" si="44"/>
        <v>365.89808750000003</v>
      </c>
      <c r="W124" s="41">
        <f t="shared" si="45"/>
        <v>426.8811020833333</v>
      </c>
      <c r="X124" s="41">
        <f t="shared" si="46"/>
        <v>487.86411666666669</v>
      </c>
      <c r="Y124" s="139" t="s">
        <v>130</v>
      </c>
      <c r="Z124" s="43" t="s">
        <v>131</v>
      </c>
    </row>
    <row r="125" spans="1:26" x14ac:dyDescent="0.25">
      <c r="A125" s="93" t="s">
        <v>57</v>
      </c>
      <c r="B125" s="85" t="s">
        <v>214</v>
      </c>
      <c r="C125" s="37">
        <f>Datos!C101</f>
        <v>1.4848292609940923E-2</v>
      </c>
      <c r="D125" s="37">
        <f>Datos!D101</f>
        <v>4.1003485800888813E-2</v>
      </c>
      <c r="E125" s="37">
        <f>Datos!E101</f>
        <v>1.8560365762426152E-2</v>
      </c>
      <c r="F125" s="37">
        <f>Datos!F101</f>
        <v>5.1254357251111014E-2</v>
      </c>
      <c r="G125" s="37">
        <f>Datos!G101</f>
        <v>3.5327485281266127E-2</v>
      </c>
      <c r="H125" s="37">
        <f>Datos!H101</f>
        <v>9.7556673966789992E-2</v>
      </c>
      <c r="I125" s="37">
        <f>Datos!I101</f>
        <v>4.1215399494810484E-2</v>
      </c>
      <c r="J125" s="37">
        <f>Datos!J101</f>
        <v>0.11381611962792167</v>
      </c>
      <c r="K125" s="37">
        <f>Datos!K101</f>
        <v>4.7103313708354841E-2</v>
      </c>
      <c r="L125" s="37">
        <f>Datos!L101</f>
        <v>0.13007556528905334</v>
      </c>
      <c r="M125" s="144">
        <v>2500</v>
      </c>
      <c r="N125" s="144">
        <v>1</v>
      </c>
      <c r="O125" s="41">
        <f t="shared" si="52"/>
        <v>102.50871450222203</v>
      </c>
      <c r="P125" s="41">
        <f t="shared" si="53"/>
        <v>128.13589312777754</v>
      </c>
      <c r="Q125" s="41">
        <f t="shared" si="54"/>
        <v>243.89168491697498</v>
      </c>
      <c r="R125" s="41">
        <f t="shared" si="55"/>
        <v>284.54029906980418</v>
      </c>
      <c r="S125" s="41">
        <f t="shared" si="56"/>
        <v>325.18891322263335</v>
      </c>
      <c r="T125" s="41">
        <f t="shared" si="42"/>
        <v>102.50871450222203</v>
      </c>
      <c r="U125" s="41">
        <f t="shared" si="43"/>
        <v>128.13589312777754</v>
      </c>
      <c r="V125" s="41">
        <f t="shared" si="44"/>
        <v>243.89168491697498</v>
      </c>
      <c r="W125" s="41">
        <f t="shared" si="45"/>
        <v>284.54029906980418</v>
      </c>
      <c r="X125" s="41">
        <f t="shared" si="46"/>
        <v>325.18891322263335</v>
      </c>
      <c r="Y125" s="140" t="s">
        <v>213</v>
      </c>
      <c r="Z125" s="43"/>
    </row>
    <row r="126" spans="1:26" s="4" customFormat="1" x14ac:dyDescent="0.25">
      <c r="A126" s="180"/>
      <c r="B126" s="95"/>
      <c r="C126" s="37">
        <f>C125</f>
        <v>1.4848292609940923E-2</v>
      </c>
      <c r="D126" s="37">
        <f t="shared" ref="D126:L126" si="64">D125</f>
        <v>4.1003485800888813E-2</v>
      </c>
      <c r="E126" s="37">
        <f t="shared" si="64"/>
        <v>1.8560365762426152E-2</v>
      </c>
      <c r="F126" s="37">
        <f t="shared" si="64"/>
        <v>5.1254357251111014E-2</v>
      </c>
      <c r="G126" s="37">
        <f t="shared" si="64"/>
        <v>3.5327485281266127E-2</v>
      </c>
      <c r="H126" s="37">
        <f t="shared" si="64"/>
        <v>9.7556673966789992E-2</v>
      </c>
      <c r="I126" s="37">
        <f t="shared" si="64"/>
        <v>4.1215399494810484E-2</v>
      </c>
      <c r="J126" s="37">
        <f t="shared" si="64"/>
        <v>0.11381611962792167</v>
      </c>
      <c r="K126" s="37">
        <f t="shared" si="64"/>
        <v>4.7103313708354841E-2</v>
      </c>
      <c r="L126" s="37">
        <f t="shared" si="64"/>
        <v>0.13007556528905334</v>
      </c>
      <c r="M126" s="166"/>
      <c r="N126" s="166"/>
      <c r="O126" s="167"/>
      <c r="P126" s="167"/>
      <c r="Q126" s="167"/>
      <c r="R126" s="167"/>
      <c r="S126" s="167"/>
      <c r="T126" s="167"/>
      <c r="U126" s="167"/>
      <c r="V126" s="167"/>
      <c r="W126" s="167"/>
      <c r="X126" s="167"/>
      <c r="Y126" s="168"/>
      <c r="Z126" s="169"/>
    </row>
    <row r="127" spans="1:26" x14ac:dyDescent="0.25">
      <c r="A127" s="305" t="s">
        <v>58</v>
      </c>
      <c r="B127" s="318" t="s">
        <v>214</v>
      </c>
      <c r="C127" s="37">
        <f>Datos!C102</f>
        <v>1.5489841521071678E-2</v>
      </c>
      <c r="D127" s="37">
        <f>Datos!D102</f>
        <v>4.8090381579979975E-2</v>
      </c>
      <c r="E127" s="37">
        <f>Datos!E102</f>
        <v>1.9362301901339599E-2</v>
      </c>
      <c r="F127" s="37">
        <f>Datos!F102</f>
        <v>6.0112976974974974E-2</v>
      </c>
      <c r="G127" s="37">
        <f>Datos!G102</f>
        <v>2.3234762281607518E-2</v>
      </c>
      <c r="H127" s="37">
        <f>Datos!H102</f>
        <v>7.2135572369969952E-2</v>
      </c>
      <c r="I127" s="37">
        <f>Datos!I102</f>
        <v>2.7107222661875437E-2</v>
      </c>
      <c r="J127" s="37">
        <f>Datos!J102</f>
        <v>8.4158167764964945E-2</v>
      </c>
      <c r="K127" s="37">
        <f>Datos!K102</f>
        <v>3.0979683042143356E-2</v>
      </c>
      <c r="L127" s="37">
        <f>Datos!L102</f>
        <v>9.6180763159959951E-2</v>
      </c>
      <c r="M127" s="144">
        <v>2500</v>
      </c>
      <c r="N127" s="144">
        <v>1</v>
      </c>
      <c r="O127" s="41">
        <f t="shared" si="52"/>
        <v>120.22595394994994</v>
      </c>
      <c r="P127" s="41">
        <f t="shared" si="53"/>
        <v>150.28244243743742</v>
      </c>
      <c r="Q127" s="41">
        <f t="shared" si="54"/>
        <v>180.33893092492488</v>
      </c>
      <c r="R127" s="41">
        <f t="shared" si="55"/>
        <v>210.39541941241237</v>
      </c>
      <c r="S127" s="41">
        <f t="shared" si="56"/>
        <v>240.45190789989988</v>
      </c>
      <c r="T127" s="41">
        <f t="shared" si="42"/>
        <v>120.22595394994994</v>
      </c>
      <c r="U127" s="41">
        <f t="shared" si="43"/>
        <v>150.28244243743742</v>
      </c>
      <c r="V127" s="41">
        <f t="shared" si="44"/>
        <v>180.33893092492488</v>
      </c>
      <c r="W127" s="41">
        <f t="shared" si="45"/>
        <v>210.39541941241237</v>
      </c>
      <c r="X127" s="41">
        <f t="shared" si="46"/>
        <v>240.45190789989988</v>
      </c>
      <c r="Y127" s="317" t="s">
        <v>487</v>
      </c>
      <c r="Z127" s="43"/>
    </row>
    <row r="128" spans="1:26" x14ac:dyDescent="0.25">
      <c r="A128" s="39" t="s">
        <v>59</v>
      </c>
      <c r="B128" s="96" t="s">
        <v>218</v>
      </c>
      <c r="C128" s="37">
        <f>Datos!C103</f>
        <v>3.7999999999999999E-2</v>
      </c>
      <c r="D128" s="37">
        <f>Datos!D103</f>
        <v>7.9411640000000006E-2</v>
      </c>
      <c r="E128" s="37">
        <f>Datos!E103</f>
        <v>4.7500000000000001E-2</v>
      </c>
      <c r="F128" s="37">
        <f>Datos!F103</f>
        <v>9.9264549999999993E-2</v>
      </c>
      <c r="G128" s="37">
        <f>Datos!G103</f>
        <v>5.7000000000000002E-2</v>
      </c>
      <c r="H128" s="37">
        <f>Datos!H103</f>
        <v>0.11911745999999999</v>
      </c>
      <c r="I128" s="37">
        <f>Datos!I103</f>
        <v>6.6500000000000004E-2</v>
      </c>
      <c r="J128" s="37">
        <f>Datos!J103</f>
        <v>0.13897037000000001</v>
      </c>
      <c r="K128" s="37">
        <f>Datos!K103</f>
        <v>7.5999999999999998E-2</v>
      </c>
      <c r="L128" s="37">
        <f>Datos!L103</f>
        <v>0.15882328000000001</v>
      </c>
      <c r="M128" s="144">
        <v>2500</v>
      </c>
      <c r="N128" s="144">
        <v>1</v>
      </c>
      <c r="O128" s="41">
        <f t="shared" si="52"/>
        <v>198.52910000000003</v>
      </c>
      <c r="P128" s="41">
        <f t="shared" si="53"/>
        <v>248.16137499999999</v>
      </c>
      <c r="Q128" s="41">
        <f t="shared" si="54"/>
        <v>297.79365000000001</v>
      </c>
      <c r="R128" s="41">
        <f t="shared" si="55"/>
        <v>347.42592500000001</v>
      </c>
      <c r="S128" s="41">
        <f t="shared" si="56"/>
        <v>397.05820000000006</v>
      </c>
      <c r="T128" s="41">
        <f t="shared" si="42"/>
        <v>198.52910000000003</v>
      </c>
      <c r="U128" s="41">
        <f t="shared" si="43"/>
        <v>248.16137499999999</v>
      </c>
      <c r="V128" s="41">
        <f t="shared" si="44"/>
        <v>297.79365000000001</v>
      </c>
      <c r="W128" s="41">
        <f t="shared" si="45"/>
        <v>347.42592500000001</v>
      </c>
      <c r="X128" s="41">
        <f t="shared" si="46"/>
        <v>397.05820000000006</v>
      </c>
      <c r="Y128" s="139" t="s">
        <v>130</v>
      </c>
      <c r="Z128" s="43" t="s">
        <v>131</v>
      </c>
    </row>
    <row r="129" spans="1:26" x14ac:dyDescent="0.25">
      <c r="A129" s="93" t="s">
        <v>59</v>
      </c>
      <c r="B129" s="85" t="s">
        <v>214</v>
      </c>
      <c r="C129" s="37">
        <f>Datos!C104</f>
        <v>2.6624296652618271E-2</v>
      </c>
      <c r="D129" s="37">
        <f>Datos!D104</f>
        <v>5.5638922658708602E-2</v>
      </c>
      <c r="E129" s="37">
        <f>Datos!E104</f>
        <v>3.3280370815772835E-2</v>
      </c>
      <c r="F129" s="37">
        <f>Datos!F104</f>
        <v>6.9548653323385751E-2</v>
      </c>
      <c r="G129" s="37">
        <f>Datos!G104</f>
        <v>8.5655255515471082E-2</v>
      </c>
      <c r="H129" s="37">
        <f>Datos!H104</f>
        <v>0.17900063987112114</v>
      </c>
      <c r="I129" s="37">
        <f>Datos!I104</f>
        <v>9.9931131434716255E-2</v>
      </c>
      <c r="J129" s="37">
        <f>Datos!J104</f>
        <v>0.20883407984964134</v>
      </c>
      <c r="K129" s="37">
        <f>Datos!K104</f>
        <v>0.11420700735396144</v>
      </c>
      <c r="L129" s="37">
        <f>Datos!L104</f>
        <v>0.23866751982816153</v>
      </c>
      <c r="M129" s="144">
        <v>2500</v>
      </c>
      <c r="N129" s="144">
        <v>1</v>
      </c>
      <c r="O129" s="41">
        <f t="shared" si="52"/>
        <v>139.0973066467715</v>
      </c>
      <c r="P129" s="41">
        <f t="shared" si="53"/>
        <v>173.87163330846437</v>
      </c>
      <c r="Q129" s="41">
        <f t="shared" si="54"/>
        <v>447.50159967780286</v>
      </c>
      <c r="R129" s="41">
        <f t="shared" si="55"/>
        <v>522.08519962410332</v>
      </c>
      <c r="S129" s="41">
        <f t="shared" si="56"/>
        <v>596.66879957040385</v>
      </c>
      <c r="T129" s="41">
        <f t="shared" si="42"/>
        <v>139.0973066467715</v>
      </c>
      <c r="U129" s="41">
        <f t="shared" si="43"/>
        <v>173.87163330846437</v>
      </c>
      <c r="V129" s="41">
        <f t="shared" si="44"/>
        <v>447.50159967780286</v>
      </c>
      <c r="W129" s="41">
        <f t="shared" si="45"/>
        <v>522.08519962410332</v>
      </c>
      <c r="X129" s="41">
        <f t="shared" si="46"/>
        <v>596.66879957040385</v>
      </c>
      <c r="Y129" s="140" t="s">
        <v>213</v>
      </c>
      <c r="Z129" s="43"/>
    </row>
    <row r="130" spans="1:26" s="4" customFormat="1" x14ac:dyDescent="0.25">
      <c r="A130" s="180"/>
      <c r="B130" s="95"/>
      <c r="C130" s="37">
        <f>C129</f>
        <v>2.6624296652618271E-2</v>
      </c>
      <c r="D130" s="37">
        <f t="shared" ref="D130:L130" si="65">D129</f>
        <v>5.5638922658708602E-2</v>
      </c>
      <c r="E130" s="37">
        <f t="shared" si="65"/>
        <v>3.3280370815772835E-2</v>
      </c>
      <c r="F130" s="37">
        <f t="shared" si="65"/>
        <v>6.9548653323385751E-2</v>
      </c>
      <c r="G130" s="37">
        <f t="shared" si="65"/>
        <v>8.5655255515471082E-2</v>
      </c>
      <c r="H130" s="37">
        <f t="shared" si="65"/>
        <v>0.17900063987112114</v>
      </c>
      <c r="I130" s="37">
        <f t="shared" si="65"/>
        <v>9.9931131434716255E-2</v>
      </c>
      <c r="J130" s="37">
        <f t="shared" si="65"/>
        <v>0.20883407984964134</v>
      </c>
      <c r="K130" s="37">
        <f t="shared" si="65"/>
        <v>0.11420700735396144</v>
      </c>
      <c r="L130" s="37">
        <f t="shared" si="65"/>
        <v>0.23866751982816153</v>
      </c>
      <c r="M130" s="166"/>
      <c r="N130" s="166"/>
      <c r="O130" s="167"/>
      <c r="P130" s="167"/>
      <c r="Q130" s="167"/>
      <c r="R130" s="167"/>
      <c r="S130" s="167"/>
      <c r="T130" s="167"/>
      <c r="U130" s="167"/>
      <c r="V130" s="167"/>
      <c r="W130" s="167"/>
      <c r="X130" s="167"/>
      <c r="Y130" s="168"/>
      <c r="Z130" s="169"/>
    </row>
    <row r="131" spans="1:26" x14ac:dyDescent="0.25">
      <c r="A131" s="92" t="s">
        <v>60</v>
      </c>
      <c r="B131" s="85" t="s">
        <v>214</v>
      </c>
      <c r="C131" s="37">
        <f>Datos!C105</f>
        <v>3.0960646267520889E-2</v>
      </c>
      <c r="D131" s="37">
        <f>Datos!D105</f>
        <v>6.8552185747233832E-2</v>
      </c>
      <c r="E131" s="37">
        <f>Datos!E105</f>
        <v>5.5535418063081127E-2</v>
      </c>
      <c r="F131" s="37">
        <f>Datos!F105</f>
        <v>0.12296494917176243</v>
      </c>
      <c r="G131" s="37">
        <f>Datos!G105</f>
        <v>6.6642501675697352E-2</v>
      </c>
      <c r="H131" s="37">
        <f>Datos!H105</f>
        <v>0.14755793900611491</v>
      </c>
      <c r="I131" s="37">
        <f>Datos!I105</f>
        <v>0.10425333573826619</v>
      </c>
      <c r="J131" s="37">
        <f>Datos!J105</f>
        <v>0.23083478214715636</v>
      </c>
      <c r="K131" s="37">
        <f>Datos!K105</f>
        <v>0.11914666941516135</v>
      </c>
      <c r="L131" s="37">
        <f>Datos!L105</f>
        <v>0.26381117959675016</v>
      </c>
      <c r="M131" s="144">
        <v>2500</v>
      </c>
      <c r="N131" s="144">
        <v>1</v>
      </c>
      <c r="O131" s="41">
        <f t="shared" si="52"/>
        <v>171.38046436808457</v>
      </c>
      <c r="P131" s="41">
        <f t="shared" si="53"/>
        <v>307.41237292940605</v>
      </c>
      <c r="Q131" s="41">
        <f t="shared" si="54"/>
        <v>368.89484751528727</v>
      </c>
      <c r="R131" s="41">
        <f t="shared" si="55"/>
        <v>577.08695536789094</v>
      </c>
      <c r="S131" s="41">
        <f t="shared" si="56"/>
        <v>659.52794899187541</v>
      </c>
      <c r="T131" s="41">
        <f t="shared" si="42"/>
        <v>171.38046436808457</v>
      </c>
      <c r="U131" s="41">
        <f t="shared" si="43"/>
        <v>307.41237292940605</v>
      </c>
      <c r="V131" s="41">
        <f t="shared" si="44"/>
        <v>368.89484751528727</v>
      </c>
      <c r="W131" s="41">
        <f t="shared" si="45"/>
        <v>577.08695536789094</v>
      </c>
      <c r="X131" s="41">
        <f t="shared" si="46"/>
        <v>659.52794899187541</v>
      </c>
      <c r="Y131" s="140" t="s">
        <v>213</v>
      </c>
      <c r="Z131" s="43"/>
    </row>
    <row r="132" spans="1:26" x14ac:dyDescent="0.25">
      <c r="A132" s="39" t="s">
        <v>61</v>
      </c>
      <c r="B132" s="96" t="s">
        <v>218</v>
      </c>
      <c r="C132" s="37">
        <f>Datos!C106</f>
        <v>3.8399999999999997E-2</v>
      </c>
      <c r="D132" s="37">
        <f>Datos!D106</f>
        <v>0.10572883199999998</v>
      </c>
      <c r="E132" s="37">
        <f>Datos!E106</f>
        <v>4.8000000000000001E-2</v>
      </c>
      <c r="F132" s="37">
        <f>Datos!F106</f>
        <v>0.13216104000000001</v>
      </c>
      <c r="G132" s="37">
        <f>Datos!G106</f>
        <v>5.7599999999999991E-2</v>
      </c>
      <c r="H132" s="37">
        <f>Datos!H106</f>
        <v>0.15859324799999999</v>
      </c>
      <c r="I132" s="37">
        <f>Datos!I106</f>
        <v>6.720000000000001E-2</v>
      </c>
      <c r="J132" s="37">
        <f>Datos!J106</f>
        <v>0.18502545600000006</v>
      </c>
      <c r="K132" s="37">
        <f>Datos!K106</f>
        <v>7.6799999999999993E-2</v>
      </c>
      <c r="L132" s="37">
        <f>Datos!L106</f>
        <v>0.21145766399999996</v>
      </c>
      <c r="M132" s="144">
        <v>2500</v>
      </c>
      <c r="N132" s="144">
        <v>1</v>
      </c>
      <c r="O132" s="41">
        <f t="shared" si="52"/>
        <v>264.32207999999997</v>
      </c>
      <c r="P132" s="41">
        <f t="shared" si="53"/>
        <v>330.40260000000001</v>
      </c>
      <c r="Q132" s="41">
        <f t="shared" si="54"/>
        <v>396.48311999999999</v>
      </c>
      <c r="R132" s="41">
        <f t="shared" si="55"/>
        <v>462.56364000000013</v>
      </c>
      <c r="S132" s="41">
        <f t="shared" si="56"/>
        <v>528.64415999999994</v>
      </c>
      <c r="T132" s="41">
        <f t="shared" si="42"/>
        <v>264.32207999999997</v>
      </c>
      <c r="U132" s="41">
        <f t="shared" si="43"/>
        <v>330.40260000000001</v>
      </c>
      <c r="V132" s="41">
        <f t="shared" si="44"/>
        <v>396.48311999999999</v>
      </c>
      <c r="W132" s="41">
        <f t="shared" si="45"/>
        <v>462.56364000000013</v>
      </c>
      <c r="X132" s="41">
        <f t="shared" si="46"/>
        <v>528.64415999999994</v>
      </c>
      <c r="Y132" s="139" t="s">
        <v>130</v>
      </c>
      <c r="Z132" s="43" t="s">
        <v>131</v>
      </c>
    </row>
    <row r="133" spans="1:26" x14ac:dyDescent="0.25">
      <c r="A133" s="93" t="s">
        <v>61</v>
      </c>
      <c r="B133" s="85" t="s">
        <v>214</v>
      </c>
      <c r="C133" s="37">
        <f>Datos!C107</f>
        <v>1.9354648683058993E-2</v>
      </c>
      <c r="D133" s="37">
        <f>Datos!D107</f>
        <v>5.3290218724743897E-2</v>
      </c>
      <c r="E133" s="37">
        <f>Datos!E107</f>
        <v>2.4193310853823743E-2</v>
      </c>
      <c r="F133" s="37">
        <f>Datos!F107</f>
        <v>6.6612773405929887E-2</v>
      </c>
      <c r="G133" s="37">
        <f>Datos!G107</f>
        <v>5.3727881844045491E-2</v>
      </c>
      <c r="H133" s="37">
        <f>Datos!H107</f>
        <v>0.14793193211471187</v>
      </c>
      <c r="I133" s="37">
        <f>Datos!I107</f>
        <v>6.2682528818053071E-2</v>
      </c>
      <c r="J133" s="37">
        <f>Datos!J107</f>
        <v>0.17258725413383053</v>
      </c>
      <c r="K133" s="37">
        <f>Datos!K107</f>
        <v>7.1637175792060651E-2</v>
      </c>
      <c r="L133" s="37">
        <f>Datos!L107</f>
        <v>0.19724257615294916</v>
      </c>
      <c r="M133" s="144">
        <v>2500</v>
      </c>
      <c r="N133" s="144">
        <v>1</v>
      </c>
      <c r="O133" s="41">
        <f t="shared" si="52"/>
        <v>133.22554681185974</v>
      </c>
      <c r="P133" s="41">
        <f t="shared" si="53"/>
        <v>166.53193351482471</v>
      </c>
      <c r="Q133" s="41">
        <f t="shared" si="54"/>
        <v>369.82983028677967</v>
      </c>
      <c r="R133" s="41">
        <f t="shared" si="55"/>
        <v>431.46813533457629</v>
      </c>
      <c r="S133" s="41">
        <f t="shared" si="56"/>
        <v>493.10644038237291</v>
      </c>
      <c r="T133" s="41">
        <f t="shared" si="42"/>
        <v>133.22554681185974</v>
      </c>
      <c r="U133" s="41">
        <f t="shared" si="43"/>
        <v>166.53193351482471</v>
      </c>
      <c r="V133" s="41">
        <f t="shared" si="44"/>
        <v>369.82983028677967</v>
      </c>
      <c r="W133" s="41">
        <f t="shared" si="45"/>
        <v>431.46813533457629</v>
      </c>
      <c r="X133" s="41">
        <f t="shared" si="46"/>
        <v>493.10644038237291</v>
      </c>
      <c r="Y133" s="140" t="s">
        <v>213</v>
      </c>
      <c r="Z133" s="43"/>
    </row>
    <row r="134" spans="1:26" s="4" customFormat="1" x14ac:dyDescent="0.25">
      <c r="A134" s="180"/>
      <c r="B134" s="95"/>
      <c r="C134" s="37">
        <f>C133</f>
        <v>1.9354648683058993E-2</v>
      </c>
      <c r="D134" s="37">
        <f t="shared" ref="D134:L134" si="66">D133</f>
        <v>5.3290218724743897E-2</v>
      </c>
      <c r="E134" s="37">
        <f t="shared" si="66"/>
        <v>2.4193310853823743E-2</v>
      </c>
      <c r="F134" s="37">
        <f t="shared" si="66"/>
        <v>6.6612773405929887E-2</v>
      </c>
      <c r="G134" s="37">
        <f t="shared" si="66"/>
        <v>5.3727881844045491E-2</v>
      </c>
      <c r="H134" s="37">
        <f t="shared" si="66"/>
        <v>0.14793193211471187</v>
      </c>
      <c r="I134" s="37">
        <f t="shared" si="66"/>
        <v>6.2682528818053071E-2</v>
      </c>
      <c r="J134" s="37">
        <f t="shared" si="66"/>
        <v>0.17258725413383053</v>
      </c>
      <c r="K134" s="37">
        <f t="shared" si="66"/>
        <v>7.1637175792060651E-2</v>
      </c>
      <c r="L134" s="37">
        <f t="shared" si="66"/>
        <v>0.19724257615294916</v>
      </c>
      <c r="M134" s="166"/>
      <c r="N134" s="166"/>
      <c r="O134" s="167"/>
      <c r="P134" s="167"/>
      <c r="Q134" s="167"/>
      <c r="R134" s="167"/>
      <c r="S134" s="167"/>
      <c r="T134" s="167"/>
      <c r="U134" s="167"/>
      <c r="V134" s="167"/>
      <c r="W134" s="167"/>
      <c r="X134" s="167"/>
      <c r="Y134" s="168"/>
      <c r="Z134" s="169"/>
    </row>
    <row r="135" spans="1:26" x14ac:dyDescent="0.25">
      <c r="A135" s="38" t="s">
        <v>62</v>
      </c>
      <c r="B135" s="88" t="s">
        <v>242</v>
      </c>
      <c r="C135" s="37">
        <f>Datos!C108</f>
        <v>0</v>
      </c>
      <c r="D135" s="37">
        <f>Datos!D108</f>
        <v>2.4741729460580914E-2</v>
      </c>
      <c r="E135" s="37">
        <f>Datos!E108</f>
        <v>0</v>
      </c>
      <c r="F135" s="37">
        <f>Datos!F108</f>
        <v>4.2108132132132131E-2</v>
      </c>
      <c r="G135" s="37">
        <f>Datos!G108</f>
        <v>0</v>
      </c>
      <c r="H135" s="37">
        <f>Datos!H108</f>
        <v>9.8011439904799699E-2</v>
      </c>
      <c r="I135" s="37">
        <f>Datos!I108</f>
        <v>0</v>
      </c>
      <c r="J135" s="37">
        <f>Datos!J108</f>
        <v>0.2209103448275862</v>
      </c>
      <c r="K135" s="37">
        <f>Datos!K108</f>
        <v>0</v>
      </c>
      <c r="L135" s="37">
        <f>Datos!L108</f>
        <v>0.4726752487309645</v>
      </c>
      <c r="M135" s="144">
        <v>2500</v>
      </c>
      <c r="N135" s="144">
        <v>1</v>
      </c>
      <c r="O135" s="41">
        <f t="shared" si="52"/>
        <v>61.854323651452283</v>
      </c>
      <c r="P135" s="41">
        <f t="shared" si="53"/>
        <v>105.27033033033032</v>
      </c>
      <c r="Q135" s="41">
        <f t="shared" si="54"/>
        <v>245.02859976199926</v>
      </c>
      <c r="R135" s="41">
        <f t="shared" si="55"/>
        <v>552.27586206896547</v>
      </c>
      <c r="S135" s="41">
        <f t="shared" si="56"/>
        <v>1181.6881218274114</v>
      </c>
      <c r="T135" s="41">
        <f t="shared" si="42"/>
        <v>61.854323651452283</v>
      </c>
      <c r="U135" s="41">
        <f t="shared" si="43"/>
        <v>105.27033033033032</v>
      </c>
      <c r="V135" s="41">
        <f t="shared" si="44"/>
        <v>245.02859976199926</v>
      </c>
      <c r="W135" s="41">
        <f t="shared" si="45"/>
        <v>552.27586206896547</v>
      </c>
      <c r="X135" s="41">
        <f t="shared" si="46"/>
        <v>1181.6881218274114</v>
      </c>
      <c r="Y135" s="28" t="s">
        <v>81</v>
      </c>
      <c r="Z135" s="43"/>
    </row>
    <row r="136" spans="1:26" x14ac:dyDescent="0.25">
      <c r="A136" s="39" t="s">
        <v>62</v>
      </c>
      <c r="B136" s="96" t="s">
        <v>218</v>
      </c>
      <c r="C136" s="37">
        <f>Datos!C109</f>
        <v>5.6500000000000002E-2</v>
      </c>
      <c r="D136" s="37">
        <f>Datos!D109</f>
        <v>0.11807257</v>
      </c>
      <c r="E136" s="37">
        <f>Datos!E109</f>
        <v>7.0624999999999993E-2</v>
      </c>
      <c r="F136" s="37">
        <f>Datos!F109</f>
        <v>0.1475907125</v>
      </c>
      <c r="G136" s="37">
        <f>Datos!G109</f>
        <v>8.4750000000000006E-2</v>
      </c>
      <c r="H136" s="37">
        <f>Datos!H109</f>
        <v>0.17710885500000004</v>
      </c>
      <c r="I136" s="37">
        <f>Datos!I109</f>
        <v>9.8875000000000005E-2</v>
      </c>
      <c r="J136" s="37">
        <f>Datos!J109</f>
        <v>0.20662699749999999</v>
      </c>
      <c r="K136" s="37">
        <f>Datos!K109</f>
        <v>0.113</v>
      </c>
      <c r="L136" s="37">
        <f>Datos!L109</f>
        <v>0.23614514</v>
      </c>
      <c r="M136" s="144">
        <v>2500</v>
      </c>
      <c r="N136" s="144">
        <v>1</v>
      </c>
      <c r="O136" s="41">
        <f t="shared" si="52"/>
        <v>295.18142499999999</v>
      </c>
      <c r="P136" s="41">
        <f t="shared" si="53"/>
        <v>368.97678124999999</v>
      </c>
      <c r="Q136" s="41">
        <f t="shared" si="54"/>
        <v>442.7721375000001</v>
      </c>
      <c r="R136" s="41">
        <f t="shared" si="55"/>
        <v>516.56749374999993</v>
      </c>
      <c r="S136" s="41">
        <f t="shared" si="56"/>
        <v>590.36284999999998</v>
      </c>
      <c r="T136" s="41">
        <f t="shared" si="42"/>
        <v>295.18142499999999</v>
      </c>
      <c r="U136" s="41">
        <f t="shared" si="43"/>
        <v>368.97678124999999</v>
      </c>
      <c r="V136" s="41">
        <f t="shared" si="44"/>
        <v>442.7721375000001</v>
      </c>
      <c r="W136" s="41">
        <f t="shared" si="45"/>
        <v>516.56749374999993</v>
      </c>
      <c r="X136" s="41">
        <f t="shared" si="46"/>
        <v>590.36284999999998</v>
      </c>
      <c r="Y136" s="139" t="s">
        <v>130</v>
      </c>
      <c r="Z136" s="43" t="s">
        <v>148</v>
      </c>
    </row>
    <row r="137" spans="1:26" x14ac:dyDescent="0.25">
      <c r="A137" s="93" t="s">
        <v>62</v>
      </c>
      <c r="B137" s="85" t="s">
        <v>214</v>
      </c>
      <c r="C137" s="37">
        <f>Datos!C110</f>
        <v>3.3837493759715447E-2</v>
      </c>
      <c r="D137" s="37">
        <f>Datos!D110</f>
        <v>7.0712917709178133E-2</v>
      </c>
      <c r="E137" s="37">
        <f>Datos!E110</f>
        <v>7.6750370757631942E-2</v>
      </c>
      <c r="F137" s="37">
        <f>Datos!F110</f>
        <v>0.16039138980188405</v>
      </c>
      <c r="G137" s="37">
        <f>Datos!G110</f>
        <v>9.2100444909158335E-2</v>
      </c>
      <c r="H137" s="37">
        <f>Datos!H110</f>
        <v>0.1924696677622609</v>
      </c>
      <c r="I137" s="37">
        <f>Datos!I110</f>
        <v>0.10745051906068473</v>
      </c>
      <c r="J137" s="37">
        <f>Datos!J110</f>
        <v>0.2245479457226377</v>
      </c>
      <c r="K137" s="37">
        <f>Datos!K110</f>
        <v>0.16228837751151071</v>
      </c>
      <c r="L137" s="37">
        <f>Datos!L110</f>
        <v>0.3391470055560048</v>
      </c>
      <c r="M137" s="144">
        <v>2500</v>
      </c>
      <c r="N137" s="144">
        <v>1</v>
      </c>
      <c r="O137" s="41">
        <f t="shared" si="52"/>
        <v>176.78229427294534</v>
      </c>
      <c r="P137" s="41">
        <f t="shared" si="53"/>
        <v>400.97847450471016</v>
      </c>
      <c r="Q137" s="41">
        <f t="shared" si="54"/>
        <v>481.17416940565226</v>
      </c>
      <c r="R137" s="41">
        <f t="shared" si="55"/>
        <v>561.3698643065942</v>
      </c>
      <c r="S137" s="41">
        <f t="shared" si="56"/>
        <v>847.86751389001199</v>
      </c>
      <c r="T137" s="41">
        <f t="shared" si="42"/>
        <v>176.78229427294534</v>
      </c>
      <c r="U137" s="41">
        <f t="shared" si="43"/>
        <v>400.97847450471016</v>
      </c>
      <c r="V137" s="41">
        <f t="shared" si="44"/>
        <v>481.17416940565226</v>
      </c>
      <c r="W137" s="41">
        <f t="shared" si="45"/>
        <v>561.3698643065942</v>
      </c>
      <c r="X137" s="41">
        <f t="shared" si="46"/>
        <v>847.86751389001199</v>
      </c>
      <c r="Y137" s="140" t="s">
        <v>213</v>
      </c>
      <c r="Z137" s="43"/>
    </row>
    <row r="138" spans="1:26" x14ac:dyDescent="0.25">
      <c r="A138" s="136" t="s">
        <v>62</v>
      </c>
      <c r="B138" s="135" t="s">
        <v>246</v>
      </c>
      <c r="C138" s="37">
        <f>Datos!C111</f>
        <v>0</v>
      </c>
      <c r="D138" s="37">
        <f>Datos!D111</f>
        <v>3.3775316398753537E-2</v>
      </c>
      <c r="E138" s="37">
        <f>Datos!E111</f>
        <v>0</v>
      </c>
      <c r="F138" s="37">
        <f>Datos!F111</f>
        <v>5.9661138638327713E-2</v>
      </c>
      <c r="G138" s="37">
        <f>Datos!G111</f>
        <v>0</v>
      </c>
      <c r="H138" s="37">
        <f>Datos!H111</f>
        <v>0.1188606916457756</v>
      </c>
      <c r="I138" s="37">
        <f>Datos!I111</f>
        <v>0</v>
      </c>
      <c r="J138" s="37">
        <f>Datos!J111</f>
        <v>0.21498591506157547</v>
      </c>
      <c r="K138" s="37">
        <f>Datos!K111</f>
        <v>0</v>
      </c>
      <c r="L138" s="37">
        <f>Datos!L111</f>
        <v>0.34811559038749534</v>
      </c>
      <c r="M138" s="144">
        <v>2500</v>
      </c>
      <c r="N138" s="144">
        <v>1</v>
      </c>
      <c r="O138" s="41">
        <f t="shared" si="52"/>
        <v>84.438290996883836</v>
      </c>
      <c r="P138" s="41">
        <f t="shared" si="53"/>
        <v>149.15284659581928</v>
      </c>
      <c r="Q138" s="41">
        <f t="shared" si="54"/>
        <v>297.15172911443904</v>
      </c>
      <c r="R138" s="41">
        <f t="shared" si="55"/>
        <v>537.46478765393863</v>
      </c>
      <c r="S138" s="41">
        <f t="shared" si="56"/>
        <v>870.28897596873833</v>
      </c>
      <c r="T138" s="41">
        <f t="shared" si="42"/>
        <v>84.438290996883836</v>
      </c>
      <c r="U138" s="41">
        <f t="shared" si="43"/>
        <v>149.15284659581928</v>
      </c>
      <c r="V138" s="41">
        <f t="shared" si="44"/>
        <v>297.15172911443904</v>
      </c>
      <c r="W138" s="41">
        <f t="shared" si="45"/>
        <v>537.46478765393863</v>
      </c>
      <c r="X138" s="41">
        <f t="shared" si="46"/>
        <v>870.28897596873833</v>
      </c>
      <c r="Y138" s="142" t="s">
        <v>85</v>
      </c>
      <c r="Z138" s="43"/>
    </row>
    <row r="139" spans="1:26" s="4" customFormat="1" x14ac:dyDescent="0.25">
      <c r="A139" s="180"/>
      <c r="B139" s="95"/>
      <c r="C139" s="37">
        <f>C137</f>
        <v>3.3837493759715447E-2</v>
      </c>
      <c r="D139" s="37">
        <f t="shared" ref="D139:L139" si="67">D137</f>
        <v>7.0712917709178133E-2</v>
      </c>
      <c r="E139" s="37">
        <f t="shared" si="67"/>
        <v>7.6750370757631942E-2</v>
      </c>
      <c r="F139" s="37">
        <f t="shared" si="67"/>
        <v>0.16039138980188405</v>
      </c>
      <c r="G139" s="37">
        <f t="shared" si="67"/>
        <v>9.2100444909158335E-2</v>
      </c>
      <c r="H139" s="37">
        <f t="shared" si="67"/>
        <v>0.1924696677622609</v>
      </c>
      <c r="I139" s="37">
        <f t="shared" si="67"/>
        <v>0.10745051906068473</v>
      </c>
      <c r="J139" s="37">
        <f t="shared" si="67"/>
        <v>0.2245479457226377</v>
      </c>
      <c r="K139" s="37">
        <f t="shared" si="67"/>
        <v>0.16228837751151071</v>
      </c>
      <c r="L139" s="37">
        <f t="shared" si="67"/>
        <v>0.3391470055560048</v>
      </c>
      <c r="M139" s="166"/>
      <c r="N139" s="166"/>
      <c r="O139" s="167"/>
      <c r="P139" s="167"/>
      <c r="Q139" s="167"/>
      <c r="R139" s="167"/>
      <c r="S139" s="167"/>
      <c r="T139" s="167"/>
      <c r="U139" s="167"/>
      <c r="V139" s="167"/>
      <c r="W139" s="167"/>
      <c r="X139" s="167"/>
      <c r="Y139" s="185"/>
      <c r="Z139" s="169"/>
    </row>
    <row r="140" spans="1:26" x14ac:dyDescent="0.25">
      <c r="A140" s="92" t="s">
        <v>98</v>
      </c>
      <c r="B140" s="85" t="s">
        <v>214</v>
      </c>
      <c r="C140" s="37">
        <f>Datos!C112</f>
        <v>3.6271193707291177E-2</v>
      </c>
      <c r="D140" s="37">
        <f>Datos!D112</f>
        <v>7.2189347795831374E-2</v>
      </c>
      <c r="E140" s="37">
        <f>Datos!E112</f>
        <v>9.2760006106566914E-2</v>
      </c>
      <c r="F140" s="37">
        <f>Datos!F112</f>
        <v>0.18461714815369659</v>
      </c>
      <c r="G140" s="37">
        <f>Datos!G112</f>
        <v>0.1113120073278803</v>
      </c>
      <c r="H140" s="37">
        <f>Datos!H112</f>
        <v>0.22154057778443589</v>
      </c>
      <c r="I140" s="37">
        <f>Datos!I112</f>
        <v>0.1744750679670522</v>
      </c>
      <c r="J140" s="37">
        <f>Datos!J112</f>
        <v>0.34725191193922511</v>
      </c>
      <c r="K140" s="37">
        <f>Datos!K112</f>
        <v>0.19940007767663109</v>
      </c>
      <c r="L140" s="37">
        <f>Datos!L112</f>
        <v>0.39685932793054296</v>
      </c>
      <c r="M140" s="144">
        <v>2500</v>
      </c>
      <c r="N140" s="144">
        <v>1</v>
      </c>
      <c r="O140" s="41">
        <f t="shared" si="52"/>
        <v>180.47336948957843</v>
      </c>
      <c r="P140" s="41">
        <f t="shared" si="53"/>
        <v>461.5428703842415</v>
      </c>
      <c r="Q140" s="41">
        <f t="shared" si="54"/>
        <v>553.85144446108973</v>
      </c>
      <c r="R140" s="41">
        <f t="shared" si="55"/>
        <v>868.12977984806275</v>
      </c>
      <c r="S140" s="41">
        <f t="shared" si="56"/>
        <v>992.14831982635735</v>
      </c>
      <c r="T140" s="41">
        <f t="shared" si="42"/>
        <v>180.47336948957843</v>
      </c>
      <c r="U140" s="41">
        <f t="shared" si="43"/>
        <v>461.5428703842415</v>
      </c>
      <c r="V140" s="41">
        <f t="shared" si="44"/>
        <v>553.85144446108973</v>
      </c>
      <c r="W140" s="41">
        <f t="shared" si="45"/>
        <v>868.12977984806275</v>
      </c>
      <c r="X140" s="41">
        <f t="shared" si="46"/>
        <v>992.14831982635735</v>
      </c>
      <c r="Y140" s="140" t="s">
        <v>213</v>
      </c>
      <c r="Z140" s="43"/>
    </row>
    <row r="141" spans="1:26" x14ac:dyDescent="0.25">
      <c r="A141" s="305" t="s">
        <v>106</v>
      </c>
      <c r="B141" s="318" t="s">
        <v>214</v>
      </c>
      <c r="C141" s="37">
        <f>Datos!C113</f>
        <v>2.3871095636996648E-2</v>
      </c>
      <c r="D141" s="37">
        <f>Datos!D113</f>
        <v>7.411115835844527E-2</v>
      </c>
      <c r="E141" s="37">
        <f>Datos!E113</f>
        <v>2.983886954624581E-2</v>
      </c>
      <c r="F141" s="37">
        <f>Datos!F113</f>
        <v>9.2638947948056591E-2</v>
      </c>
      <c r="G141" s="37">
        <f>Datos!G113</f>
        <v>3.5806643455494974E-2</v>
      </c>
      <c r="H141" s="37">
        <f>Datos!H113</f>
        <v>0.11116673753766791</v>
      </c>
      <c r="I141" s="37">
        <f>Datos!I113</f>
        <v>4.1774417364744132E-2</v>
      </c>
      <c r="J141" s="37">
        <f>Datos!J113</f>
        <v>0.12969452712727922</v>
      </c>
      <c r="K141" s="37">
        <f>Datos!K113</f>
        <v>4.7742191273993297E-2</v>
      </c>
      <c r="L141" s="37">
        <f>Datos!L113</f>
        <v>0.14822231671689054</v>
      </c>
      <c r="M141" s="144">
        <v>2500</v>
      </c>
      <c r="N141" s="144">
        <v>1</v>
      </c>
      <c r="O141" s="41">
        <f t="shared" si="52"/>
        <v>185.27789589611317</v>
      </c>
      <c r="P141" s="41">
        <f t="shared" si="53"/>
        <v>231.59736987014148</v>
      </c>
      <c r="Q141" s="41">
        <f t="shared" si="54"/>
        <v>277.91684384416976</v>
      </c>
      <c r="R141" s="41">
        <f t="shared" si="55"/>
        <v>324.23631781819807</v>
      </c>
      <c r="S141" s="41">
        <f t="shared" si="56"/>
        <v>370.55579179222633</v>
      </c>
      <c r="T141" s="41">
        <f t="shared" si="42"/>
        <v>185.27789589611317</v>
      </c>
      <c r="U141" s="41">
        <f t="shared" si="43"/>
        <v>231.59736987014148</v>
      </c>
      <c r="V141" s="41">
        <f t="shared" si="44"/>
        <v>277.91684384416976</v>
      </c>
      <c r="W141" s="41">
        <f t="shared" si="45"/>
        <v>324.23631781819807</v>
      </c>
      <c r="X141" s="41">
        <f t="shared" si="46"/>
        <v>370.55579179222633</v>
      </c>
      <c r="Y141" s="317" t="s">
        <v>487</v>
      </c>
      <c r="Z141" s="43"/>
    </row>
    <row r="142" spans="1:26" x14ac:dyDescent="0.25">
      <c r="A142" s="170" t="s">
        <v>63</v>
      </c>
      <c r="B142" s="171"/>
      <c r="C142" s="37">
        <f>Datos!C114</f>
        <v>0</v>
      </c>
      <c r="D142" s="37">
        <f>Datos!D114</f>
        <v>0</v>
      </c>
      <c r="E142" s="37">
        <f>Datos!E114</f>
        <v>0</v>
      </c>
      <c r="F142" s="37">
        <f>Datos!F114</f>
        <v>0</v>
      </c>
      <c r="G142" s="37">
        <f>Datos!G114</f>
        <v>0</v>
      </c>
      <c r="H142" s="37">
        <f>Datos!H114</f>
        <v>0</v>
      </c>
      <c r="I142" s="37">
        <f>Datos!I114</f>
        <v>0</v>
      </c>
      <c r="J142" s="37">
        <f>Datos!J114</f>
        <v>0</v>
      </c>
      <c r="K142" s="37">
        <f>Datos!K114</f>
        <v>0</v>
      </c>
      <c r="L142" s="37">
        <f>Datos!L114</f>
        <v>0</v>
      </c>
      <c r="M142" s="144">
        <v>2500</v>
      </c>
      <c r="N142" s="144">
        <v>1</v>
      </c>
      <c r="O142" s="41">
        <f t="shared" si="52"/>
        <v>0</v>
      </c>
      <c r="P142" s="41">
        <f t="shared" si="53"/>
        <v>0</v>
      </c>
      <c r="Q142" s="41">
        <f t="shared" si="54"/>
        <v>0</v>
      </c>
      <c r="R142" s="41">
        <f t="shared" si="55"/>
        <v>0</v>
      </c>
      <c r="S142" s="41">
        <f t="shared" si="56"/>
        <v>0</v>
      </c>
      <c r="T142" s="41">
        <f t="shared" si="42"/>
        <v>0</v>
      </c>
      <c r="U142" s="41">
        <f t="shared" si="43"/>
        <v>0</v>
      </c>
      <c r="V142" s="41">
        <f t="shared" si="44"/>
        <v>0</v>
      </c>
      <c r="W142" s="41">
        <f t="shared" si="45"/>
        <v>0</v>
      </c>
      <c r="X142" s="41">
        <f t="shared" si="46"/>
        <v>0</v>
      </c>
      <c r="Y142" s="141"/>
      <c r="Z142" s="43"/>
    </row>
    <row r="143" spans="1:26" x14ac:dyDescent="0.25">
      <c r="A143" s="92" t="s">
        <v>64</v>
      </c>
      <c r="B143" s="85" t="s">
        <v>214</v>
      </c>
      <c r="C143" s="37">
        <f>Datos!C115</f>
        <v>2.7231583871240757E-2</v>
      </c>
      <c r="D143" s="37">
        <f>Datos!D115</f>
        <v>6.0069243142107612E-2</v>
      </c>
      <c r="E143" s="37">
        <f>Datos!E115</f>
        <v>7.221104985622355E-2</v>
      </c>
      <c r="F143" s="37">
        <f>Datos!F115</f>
        <v>0.15928794784284833</v>
      </c>
      <c r="G143" s="37">
        <f>Datos!G115</f>
        <v>8.6653259827468271E-2</v>
      </c>
      <c r="H143" s="37">
        <f>Datos!H115</f>
        <v>0.19114553741141802</v>
      </c>
      <c r="I143" s="37">
        <f>Datos!I115</f>
        <v>0.15598954072599311</v>
      </c>
      <c r="J143" s="37">
        <f>Datos!J115</f>
        <v>0.34409212823611068</v>
      </c>
      <c r="K143" s="37">
        <f>Datos!K115</f>
        <v>0.17827376082970639</v>
      </c>
      <c r="L143" s="37">
        <f>Datos!L115</f>
        <v>0.39324814655555496</v>
      </c>
      <c r="M143" s="144">
        <v>2500</v>
      </c>
      <c r="N143" s="144">
        <v>1</v>
      </c>
      <c r="O143" s="41">
        <f t="shared" si="52"/>
        <v>150.17310785526902</v>
      </c>
      <c r="P143" s="41">
        <f t="shared" si="53"/>
        <v>398.21986960712081</v>
      </c>
      <c r="Q143" s="41">
        <f t="shared" si="54"/>
        <v>477.86384352854503</v>
      </c>
      <c r="R143" s="41">
        <f t="shared" si="55"/>
        <v>860.23032059027673</v>
      </c>
      <c r="S143" s="41">
        <f t="shared" si="56"/>
        <v>983.12036638888742</v>
      </c>
      <c r="T143" s="41">
        <f t="shared" si="42"/>
        <v>150.17310785526902</v>
      </c>
      <c r="U143" s="41">
        <f t="shared" si="43"/>
        <v>398.21986960712081</v>
      </c>
      <c r="V143" s="41">
        <f t="shared" si="44"/>
        <v>477.86384352854503</v>
      </c>
      <c r="W143" s="41">
        <f t="shared" si="45"/>
        <v>860.23032059027673</v>
      </c>
      <c r="X143" s="41">
        <f t="shared" si="46"/>
        <v>983.12036638888742</v>
      </c>
      <c r="Y143" s="140" t="s">
        <v>213</v>
      </c>
      <c r="Z143" s="43"/>
    </row>
    <row r="144" spans="1:26" x14ac:dyDescent="0.25">
      <c r="A144" s="92" t="s">
        <v>211</v>
      </c>
      <c r="B144" s="85" t="s">
        <v>214</v>
      </c>
      <c r="C144" s="37">
        <f>Datos!C116</f>
        <v>0.13993173246654608</v>
      </c>
      <c r="D144" s="37">
        <f>Datos!D116</f>
        <v>0.3086707442568718</v>
      </c>
      <c r="E144" s="37">
        <f>Datos!E116</f>
        <v>0.26066265362298341</v>
      </c>
      <c r="F144" s="37">
        <f>Datos!F116</f>
        <v>0.57498705887181834</v>
      </c>
      <c r="G144" s="37">
        <f>Datos!G116</f>
        <v>0.40603515156448039</v>
      </c>
      <c r="H144" s="37">
        <f>Datos!H116</f>
        <v>0.89565940633103525</v>
      </c>
      <c r="I144" s="37">
        <f>Datos!I116</f>
        <v>0.56415193613376724</v>
      </c>
      <c r="J144" s="37">
        <f>Datos!J116</f>
        <v>1.2444439508529392</v>
      </c>
      <c r="K144" s="37">
        <f>Datos!K116</f>
        <v>0.61922533725760553</v>
      </c>
      <c r="L144" s="37">
        <f>Datos!L116</f>
        <v>1.3659285306119766</v>
      </c>
      <c r="M144" s="144">
        <v>2500</v>
      </c>
      <c r="N144" s="144">
        <v>1</v>
      </c>
      <c r="O144" s="41">
        <f t="shared" si="52"/>
        <v>771.67686064217946</v>
      </c>
      <c r="P144" s="41">
        <f t="shared" si="53"/>
        <v>1437.4676471795458</v>
      </c>
      <c r="Q144" s="41">
        <f t="shared" si="54"/>
        <v>2239.1485158275882</v>
      </c>
      <c r="R144" s="41">
        <f t="shared" si="55"/>
        <v>3111.1098771323482</v>
      </c>
      <c r="S144" s="41">
        <f t="shared" si="56"/>
        <v>3414.8213265299414</v>
      </c>
      <c r="T144" s="41">
        <f t="shared" si="42"/>
        <v>771.67686064217946</v>
      </c>
      <c r="U144" s="41">
        <f t="shared" si="43"/>
        <v>1437.4676471795458</v>
      </c>
      <c r="V144" s="41">
        <f t="shared" si="44"/>
        <v>2239.1485158275882</v>
      </c>
      <c r="W144" s="41">
        <f t="shared" si="45"/>
        <v>3111.1098771323482</v>
      </c>
      <c r="X144" s="41">
        <f t="shared" si="46"/>
        <v>3414.8213265299414</v>
      </c>
      <c r="Y144" s="140" t="s">
        <v>213</v>
      </c>
      <c r="Z144" s="43"/>
    </row>
    <row r="145" spans="1:26" x14ac:dyDescent="0.25">
      <c r="A145" s="170" t="s">
        <v>65</v>
      </c>
      <c r="B145" s="171"/>
      <c r="C145" s="37">
        <f>Datos!C117</f>
        <v>0</v>
      </c>
      <c r="D145" s="37">
        <f>Datos!D117</f>
        <v>0</v>
      </c>
      <c r="E145" s="37">
        <f>Datos!E117</f>
        <v>0</v>
      </c>
      <c r="F145" s="37">
        <f>Datos!F117</f>
        <v>0</v>
      </c>
      <c r="G145" s="37">
        <f>Datos!G117</f>
        <v>0</v>
      </c>
      <c r="H145" s="37">
        <f>Datos!H117</f>
        <v>0</v>
      </c>
      <c r="I145" s="37">
        <f>Datos!I117</f>
        <v>0</v>
      </c>
      <c r="J145" s="37">
        <f>Datos!J117</f>
        <v>0</v>
      </c>
      <c r="K145" s="37">
        <f>Datos!K117</f>
        <v>0</v>
      </c>
      <c r="L145" s="37">
        <f>Datos!L117</f>
        <v>0</v>
      </c>
      <c r="M145" s="144">
        <v>2500</v>
      </c>
      <c r="N145" s="144">
        <v>1</v>
      </c>
      <c r="O145" s="41">
        <f t="shared" si="52"/>
        <v>0</v>
      </c>
      <c r="P145" s="41">
        <f t="shared" si="53"/>
        <v>0</v>
      </c>
      <c r="Q145" s="41">
        <f t="shared" si="54"/>
        <v>0</v>
      </c>
      <c r="R145" s="41">
        <f t="shared" si="55"/>
        <v>0</v>
      </c>
      <c r="S145" s="41">
        <f t="shared" si="56"/>
        <v>0</v>
      </c>
      <c r="T145" s="41">
        <f t="shared" si="42"/>
        <v>0</v>
      </c>
      <c r="U145" s="41">
        <f t="shared" si="43"/>
        <v>0</v>
      </c>
      <c r="V145" s="41">
        <f t="shared" si="44"/>
        <v>0</v>
      </c>
      <c r="W145" s="41">
        <f t="shared" si="45"/>
        <v>0</v>
      </c>
      <c r="X145" s="41">
        <f t="shared" si="46"/>
        <v>0</v>
      </c>
      <c r="Y145" s="141"/>
      <c r="Z145" s="43"/>
    </row>
    <row r="146" spans="1:26" x14ac:dyDescent="0.25">
      <c r="A146" s="92" t="s">
        <v>67</v>
      </c>
      <c r="B146" s="85" t="s">
        <v>214</v>
      </c>
      <c r="C146" s="37">
        <f>Datos!C118</f>
        <v>6.2140816833345464E-2</v>
      </c>
      <c r="D146" s="37">
        <f>Datos!D118</f>
        <v>0.16514543481629892</v>
      </c>
      <c r="E146" s="37">
        <f>Datos!E118</f>
        <v>7.7676021041681836E-2</v>
      </c>
      <c r="F146" s="37">
        <f>Datos!F118</f>
        <v>0.20643179352037366</v>
      </c>
      <c r="G146" s="37">
        <f>Datos!G118</f>
        <v>9.3211225250018195E-2</v>
      </c>
      <c r="H146" s="37">
        <f>Datos!H118</f>
        <v>0.24771815222444837</v>
      </c>
      <c r="I146" s="37">
        <f>Datos!I118</f>
        <v>0.10874642945835457</v>
      </c>
      <c r="J146" s="37">
        <f>Datos!J118</f>
        <v>0.28900451092852308</v>
      </c>
      <c r="K146" s="37">
        <f>Datos!K118</f>
        <v>0.12428163366669093</v>
      </c>
      <c r="L146" s="37">
        <f>Datos!L118</f>
        <v>0.33029086963259785</v>
      </c>
      <c r="M146" s="144">
        <v>2500</v>
      </c>
      <c r="N146" s="144">
        <v>1</v>
      </c>
      <c r="O146" s="41">
        <f t="shared" si="52"/>
        <v>412.86358704074729</v>
      </c>
      <c r="P146" s="41">
        <f t="shared" si="53"/>
        <v>516.07948380093421</v>
      </c>
      <c r="Q146" s="41">
        <f t="shared" si="54"/>
        <v>619.29538056112096</v>
      </c>
      <c r="R146" s="41">
        <f t="shared" si="55"/>
        <v>722.51127732130772</v>
      </c>
      <c r="S146" s="41">
        <f t="shared" si="56"/>
        <v>825.72717408149458</v>
      </c>
      <c r="T146" s="41">
        <f t="shared" si="42"/>
        <v>412.86358704074729</v>
      </c>
      <c r="U146" s="41">
        <f t="shared" si="43"/>
        <v>516.07948380093421</v>
      </c>
      <c r="V146" s="41">
        <f t="shared" si="44"/>
        <v>619.29538056112096</v>
      </c>
      <c r="W146" s="41">
        <f t="shared" si="45"/>
        <v>722.51127732130772</v>
      </c>
      <c r="X146" s="41">
        <f t="shared" si="46"/>
        <v>825.72717408149458</v>
      </c>
      <c r="Y146" s="140" t="s">
        <v>213</v>
      </c>
      <c r="Z146" s="43"/>
    </row>
    <row r="147" spans="1:26" x14ac:dyDescent="0.25">
      <c r="A147" s="92" t="s">
        <v>212</v>
      </c>
      <c r="B147" s="85" t="s">
        <v>214</v>
      </c>
      <c r="C147" s="37">
        <f>Datos!C119</f>
        <v>1.4552614868954362E-2</v>
      </c>
      <c r="D147" s="37">
        <f>Datos!D119</f>
        <v>2.8664770594541707E-2</v>
      </c>
      <c r="E147" s="37">
        <f>Datos!E119</f>
        <v>3.3820935737924614E-2</v>
      </c>
      <c r="F147" s="37">
        <f>Datos!F119</f>
        <v>6.6618224487514713E-2</v>
      </c>
      <c r="G147" s="37">
        <f>Datos!G119</f>
        <v>4.0585122885509535E-2</v>
      </c>
      <c r="H147" s="37">
        <f>Datos!H119</f>
        <v>7.9941869385017642E-2</v>
      </c>
      <c r="I147" s="37">
        <f>Datos!I119</f>
        <v>7.1138125670237848E-2</v>
      </c>
      <c r="J147" s="37">
        <f>Datos!J119</f>
        <v>0.14012313740352317</v>
      </c>
      <c r="K147" s="37">
        <f>Datos!K119</f>
        <v>8.1300715051700403E-2</v>
      </c>
      <c r="L147" s="37">
        <f>Datos!L119</f>
        <v>0.16014072846116933</v>
      </c>
      <c r="M147" s="144">
        <v>2500</v>
      </c>
      <c r="N147" s="144">
        <v>1</v>
      </c>
      <c r="O147" s="41">
        <f t="shared" si="52"/>
        <v>71.661926486354261</v>
      </c>
      <c r="P147" s="41">
        <f t="shared" si="53"/>
        <v>166.54556121878679</v>
      </c>
      <c r="Q147" s="41">
        <f t="shared" si="54"/>
        <v>199.8546734625441</v>
      </c>
      <c r="R147" s="41">
        <f t="shared" si="55"/>
        <v>350.30784350880793</v>
      </c>
      <c r="S147" s="41">
        <f t="shared" si="56"/>
        <v>400.35182115292332</v>
      </c>
      <c r="T147" s="41">
        <f t="shared" si="42"/>
        <v>71.661926486354261</v>
      </c>
      <c r="U147" s="41">
        <f t="shared" si="43"/>
        <v>166.54556121878679</v>
      </c>
      <c r="V147" s="41">
        <f t="shared" si="44"/>
        <v>199.8546734625441</v>
      </c>
      <c r="W147" s="41">
        <f t="shared" si="45"/>
        <v>350.30784350880793</v>
      </c>
      <c r="X147" s="41">
        <f t="shared" si="46"/>
        <v>400.35182115292332</v>
      </c>
      <c r="Y147" s="140" t="s">
        <v>213</v>
      </c>
      <c r="Z147" s="43"/>
    </row>
    <row r="148" spans="1:26" x14ac:dyDescent="0.25">
      <c r="A148" s="170" t="s">
        <v>69</v>
      </c>
      <c r="B148" s="171"/>
      <c r="C148" s="37">
        <f>Datos!C120</f>
        <v>0</v>
      </c>
      <c r="D148" s="37">
        <f>Datos!D120</f>
        <v>0</v>
      </c>
      <c r="E148" s="37">
        <f>Datos!E120</f>
        <v>0</v>
      </c>
      <c r="F148" s="37">
        <f>Datos!F120</f>
        <v>0</v>
      </c>
      <c r="G148" s="37">
        <f>Datos!G120</f>
        <v>0</v>
      </c>
      <c r="H148" s="37">
        <f>Datos!H120</f>
        <v>0</v>
      </c>
      <c r="I148" s="37">
        <f>Datos!I120</f>
        <v>0</v>
      </c>
      <c r="J148" s="37">
        <f>Datos!J120</f>
        <v>0</v>
      </c>
      <c r="K148" s="37">
        <f>Datos!K120</f>
        <v>0</v>
      </c>
      <c r="L148" s="37">
        <f>Datos!L120</f>
        <v>0</v>
      </c>
      <c r="M148" s="144">
        <v>2500</v>
      </c>
      <c r="N148" s="144">
        <v>1</v>
      </c>
      <c r="O148" s="41">
        <f t="shared" si="52"/>
        <v>0</v>
      </c>
      <c r="P148" s="41">
        <f t="shared" si="53"/>
        <v>0</v>
      </c>
      <c r="Q148" s="41">
        <f t="shared" si="54"/>
        <v>0</v>
      </c>
      <c r="R148" s="41">
        <f t="shared" si="55"/>
        <v>0</v>
      </c>
      <c r="S148" s="41">
        <f t="shared" si="56"/>
        <v>0</v>
      </c>
      <c r="T148" s="41">
        <f t="shared" si="42"/>
        <v>0</v>
      </c>
      <c r="U148" s="41">
        <f t="shared" si="43"/>
        <v>0</v>
      </c>
      <c r="V148" s="41">
        <f t="shared" si="44"/>
        <v>0</v>
      </c>
      <c r="W148" s="41">
        <f t="shared" si="45"/>
        <v>0</v>
      </c>
      <c r="X148" s="41">
        <f t="shared" si="46"/>
        <v>0</v>
      </c>
      <c r="Y148" s="141"/>
      <c r="Z148" s="43"/>
    </row>
    <row r="149" spans="1:26" x14ac:dyDescent="0.25">
      <c r="A149" s="170" t="s">
        <v>70</v>
      </c>
      <c r="B149" s="171"/>
      <c r="C149" s="37">
        <f>Datos!C121</f>
        <v>0</v>
      </c>
      <c r="D149" s="37">
        <f>Datos!D121</f>
        <v>0</v>
      </c>
      <c r="E149" s="37">
        <f>Datos!E121</f>
        <v>0</v>
      </c>
      <c r="F149" s="37">
        <f>Datos!F121</f>
        <v>0</v>
      </c>
      <c r="G149" s="37">
        <f>Datos!G121</f>
        <v>0</v>
      </c>
      <c r="H149" s="37">
        <f>Datos!H121</f>
        <v>0</v>
      </c>
      <c r="I149" s="37">
        <f>Datos!I121</f>
        <v>0</v>
      </c>
      <c r="J149" s="37">
        <f>Datos!J121</f>
        <v>0</v>
      </c>
      <c r="K149" s="37">
        <f>Datos!K121</f>
        <v>0</v>
      </c>
      <c r="L149" s="37">
        <f>Datos!L121</f>
        <v>0</v>
      </c>
      <c r="M149" s="144">
        <v>2500</v>
      </c>
      <c r="N149" s="144">
        <v>1</v>
      </c>
      <c r="O149" s="41">
        <f t="shared" si="52"/>
        <v>0</v>
      </c>
      <c r="P149" s="41">
        <f t="shared" si="53"/>
        <v>0</v>
      </c>
      <c r="Q149" s="41">
        <f t="shared" si="54"/>
        <v>0</v>
      </c>
      <c r="R149" s="41">
        <f t="shared" si="55"/>
        <v>0</v>
      </c>
      <c r="S149" s="41">
        <f t="shared" si="56"/>
        <v>0</v>
      </c>
      <c r="T149" s="41">
        <f t="shared" si="42"/>
        <v>0</v>
      </c>
      <c r="U149" s="41">
        <f t="shared" si="43"/>
        <v>0</v>
      </c>
      <c r="V149" s="41">
        <f t="shared" si="44"/>
        <v>0</v>
      </c>
      <c r="W149" s="41">
        <f t="shared" si="45"/>
        <v>0</v>
      </c>
      <c r="X149" s="41">
        <f t="shared" si="46"/>
        <v>0</v>
      </c>
      <c r="Y149" s="141"/>
      <c r="Z149" s="43"/>
    </row>
    <row r="150" spans="1:26" x14ac:dyDescent="0.25">
      <c r="A150" s="173" t="s">
        <v>71</v>
      </c>
      <c r="B150" s="135"/>
      <c r="C150" s="37">
        <f>Datos!C122</f>
        <v>0</v>
      </c>
      <c r="D150" s="37">
        <f>Datos!D122</f>
        <v>0</v>
      </c>
      <c r="E150" s="37">
        <f>Datos!E122</f>
        <v>0</v>
      </c>
      <c r="F150" s="37">
        <f>Datos!F122</f>
        <v>0</v>
      </c>
      <c r="G150" s="37">
        <f>Datos!G122</f>
        <v>0</v>
      </c>
      <c r="H150" s="37">
        <f>Datos!H122</f>
        <v>0</v>
      </c>
      <c r="I150" s="37">
        <f>Datos!I122</f>
        <v>0</v>
      </c>
      <c r="J150" s="37">
        <f>Datos!J122</f>
        <v>0</v>
      </c>
      <c r="K150" s="37">
        <f>Datos!K122</f>
        <v>0</v>
      </c>
      <c r="L150" s="37">
        <f>Datos!L122</f>
        <v>0</v>
      </c>
      <c r="M150" s="144">
        <v>2500</v>
      </c>
      <c r="N150" s="144">
        <v>1</v>
      </c>
      <c r="O150" s="41">
        <f t="shared" si="52"/>
        <v>0</v>
      </c>
      <c r="P150" s="41">
        <f t="shared" si="53"/>
        <v>0</v>
      </c>
      <c r="Q150" s="41">
        <f t="shared" si="54"/>
        <v>0</v>
      </c>
      <c r="R150" s="41">
        <f t="shared" si="55"/>
        <v>0</v>
      </c>
      <c r="S150" s="41">
        <f t="shared" si="56"/>
        <v>0</v>
      </c>
      <c r="T150" s="41">
        <f t="shared" si="42"/>
        <v>0</v>
      </c>
      <c r="U150" s="41">
        <f t="shared" si="43"/>
        <v>0</v>
      </c>
      <c r="V150" s="41">
        <f t="shared" si="44"/>
        <v>0</v>
      </c>
      <c r="W150" s="41">
        <f t="shared" si="45"/>
        <v>0</v>
      </c>
      <c r="X150" s="41">
        <f t="shared" si="46"/>
        <v>0</v>
      </c>
      <c r="Y150" s="141"/>
      <c r="Z150" s="43"/>
    </row>
    <row r="151" spans="1:26" x14ac:dyDescent="0.25">
      <c r="A151" s="92" t="s">
        <v>72</v>
      </c>
      <c r="B151" s="85" t="s">
        <v>214</v>
      </c>
      <c r="C151" s="37">
        <f>Datos!C123</f>
        <v>2.6976298890617898E-2</v>
      </c>
      <c r="D151" s="37">
        <f>Datos!D123</f>
        <v>5.1766168756151212E-2</v>
      </c>
      <c r="E151" s="37">
        <f>Datos!E123</f>
        <v>3.295231159662796E-2</v>
      </c>
      <c r="F151" s="37">
        <f>Datos!F123</f>
        <v>6.3233838338349224E-2</v>
      </c>
      <c r="G151" s="37">
        <f>Datos!G123</f>
        <v>4.5592134029955503E-2</v>
      </c>
      <c r="H151" s="37">
        <f>Datos!H123</f>
        <v>8.7489025596783121E-2</v>
      </c>
      <c r="I151" s="37">
        <f>Datos!I123</f>
        <v>6.0733508148132463E-2</v>
      </c>
      <c r="J151" s="37">
        <f>Datos!J123</f>
        <v>0.1165445654608588</v>
      </c>
      <c r="K151" s="37">
        <f>Datos!K123</f>
        <v>6.9409723597865666E-2</v>
      </c>
      <c r="L151" s="37">
        <f>Datos!L123</f>
        <v>0.13319378909812432</v>
      </c>
      <c r="M151" s="144">
        <v>2500</v>
      </c>
      <c r="N151" s="144">
        <v>1</v>
      </c>
      <c r="O151" s="41">
        <f t="shared" si="52"/>
        <v>129.41542189037804</v>
      </c>
      <c r="P151" s="41">
        <f t="shared" si="53"/>
        <v>158.08459584587305</v>
      </c>
      <c r="Q151" s="41">
        <f t="shared" si="54"/>
        <v>218.7225639919578</v>
      </c>
      <c r="R151" s="41">
        <f t="shared" si="55"/>
        <v>291.36141365214701</v>
      </c>
      <c r="S151" s="41">
        <f t="shared" si="56"/>
        <v>332.98447274531082</v>
      </c>
      <c r="T151" s="41">
        <f t="shared" si="42"/>
        <v>129.41542189037804</v>
      </c>
      <c r="U151" s="41">
        <f t="shared" si="43"/>
        <v>158.08459584587305</v>
      </c>
      <c r="V151" s="41">
        <f t="shared" si="44"/>
        <v>218.7225639919578</v>
      </c>
      <c r="W151" s="41">
        <f t="shared" si="45"/>
        <v>291.36141365214701</v>
      </c>
      <c r="X151" s="41">
        <f t="shared" si="46"/>
        <v>332.98447274531082</v>
      </c>
      <c r="Y151" s="140" t="s">
        <v>213</v>
      </c>
      <c r="Z151" s="43"/>
    </row>
    <row r="152" spans="1:26" x14ac:dyDescent="0.25">
      <c r="A152" s="27" t="s">
        <v>73</v>
      </c>
      <c r="B152" s="96" t="s">
        <v>218</v>
      </c>
      <c r="C152" s="37">
        <f>Datos!C124</f>
        <v>7.2666666666666671E-2</v>
      </c>
      <c r="D152" s="37">
        <f>Datos!D124</f>
        <v>0.18032959999999998</v>
      </c>
      <c r="E152" s="37">
        <f>Datos!E124</f>
        <v>9.0833333333333335E-2</v>
      </c>
      <c r="F152" s="37">
        <f>Datos!F124</f>
        <v>0.225412</v>
      </c>
      <c r="G152" s="37">
        <f>Datos!G124</f>
        <v>0.109</v>
      </c>
      <c r="H152" s="37">
        <f>Datos!H124</f>
        <v>0.27049440000000002</v>
      </c>
      <c r="I152" s="37">
        <f>Datos!I124</f>
        <v>0.20300000000000001</v>
      </c>
      <c r="J152" s="37">
        <f>Datos!J124</f>
        <v>0.50376480000000001</v>
      </c>
      <c r="K152" s="37">
        <f>Datos!K124</f>
        <v>0.23200000000000001</v>
      </c>
      <c r="L152" s="37">
        <f>Datos!L124</f>
        <v>0.5757312</v>
      </c>
      <c r="M152" s="144">
        <v>2500</v>
      </c>
      <c r="N152" s="144">
        <v>1</v>
      </c>
      <c r="O152" s="41">
        <f t="shared" si="52"/>
        <v>450.82399999999996</v>
      </c>
      <c r="P152" s="41">
        <f t="shared" si="53"/>
        <v>563.53</v>
      </c>
      <c r="Q152" s="41">
        <f t="shared" si="54"/>
        <v>676.2360000000001</v>
      </c>
      <c r="R152" s="41">
        <f t="shared" si="55"/>
        <v>1259.412</v>
      </c>
      <c r="S152" s="41">
        <f t="shared" si="56"/>
        <v>1439.328</v>
      </c>
      <c r="T152" s="41">
        <f t="shared" si="42"/>
        <v>450.82399999999996</v>
      </c>
      <c r="U152" s="41">
        <f t="shared" si="43"/>
        <v>563.53</v>
      </c>
      <c r="V152" s="41">
        <f t="shared" si="44"/>
        <v>676.2360000000001</v>
      </c>
      <c r="W152" s="41">
        <f t="shared" si="45"/>
        <v>1259.412</v>
      </c>
      <c r="X152" s="41">
        <f t="shared" si="46"/>
        <v>1439.328</v>
      </c>
      <c r="Y152" s="139" t="s">
        <v>130</v>
      </c>
      <c r="Z152" s="43" t="s">
        <v>148</v>
      </c>
    </row>
    <row r="154" spans="1:26" x14ac:dyDescent="0.25">
      <c r="A154" s="97" t="s">
        <v>290</v>
      </c>
    </row>
    <row r="155" spans="1:26" x14ac:dyDescent="0.25">
      <c r="A155" s="161" t="s">
        <v>81</v>
      </c>
    </row>
    <row r="156" spans="1:26" x14ac:dyDescent="0.25">
      <c r="A156" s="162" t="s">
        <v>130</v>
      </c>
    </row>
    <row r="157" spans="1:26" x14ac:dyDescent="0.25">
      <c r="A157" s="163" t="s">
        <v>217</v>
      </c>
      <c r="B157" s="86"/>
    </row>
    <row r="158" spans="1:26" x14ac:dyDescent="0.25">
      <c r="A158" s="164" t="s">
        <v>85</v>
      </c>
      <c r="B158" s="86"/>
    </row>
    <row r="159" spans="1:26" x14ac:dyDescent="0.25">
      <c r="A159" s="164" t="s">
        <v>497</v>
      </c>
    </row>
    <row r="160" spans="1:26" ht="45" x14ac:dyDescent="0.25">
      <c r="A160" s="306" t="s">
        <v>488</v>
      </c>
    </row>
    <row r="161" spans="1:16" x14ac:dyDescent="0.25">
      <c r="A161" s="97" t="s">
        <v>219</v>
      </c>
    </row>
    <row r="162" spans="1:16" x14ac:dyDescent="0.25">
      <c r="A162" s="97"/>
    </row>
    <row r="163" spans="1:16" x14ac:dyDescent="0.25">
      <c r="A163" s="97" t="s">
        <v>220</v>
      </c>
      <c r="D163" s="91"/>
    </row>
    <row r="164" spans="1:16" x14ac:dyDescent="0.25">
      <c r="A164" s="97"/>
      <c r="D164" s="91"/>
    </row>
    <row r="165" spans="1:16" x14ac:dyDescent="0.25">
      <c r="A165" s="160" t="s">
        <v>258</v>
      </c>
      <c r="B165" s="147"/>
      <c r="C165" t="s">
        <v>222</v>
      </c>
      <c r="D165" s="91"/>
      <c r="M165" s="160" t="s">
        <v>259</v>
      </c>
      <c r="N165" s="147"/>
    </row>
    <row r="166" spans="1:16" x14ac:dyDescent="0.25">
      <c r="A166" s="147"/>
      <c r="B166" s="147"/>
      <c r="D166" s="91"/>
      <c r="M166" s="147"/>
      <c r="N166" s="147"/>
    </row>
    <row r="167" spans="1:16" x14ac:dyDescent="0.25">
      <c r="A167" s="148" t="s">
        <v>260</v>
      </c>
      <c r="B167" s="148" t="s">
        <v>261</v>
      </c>
      <c r="D167" s="91"/>
      <c r="M167" s="148" t="s">
        <v>260</v>
      </c>
      <c r="N167" s="519" t="s">
        <v>261</v>
      </c>
      <c r="O167" s="519"/>
      <c r="P167" s="519"/>
    </row>
    <row r="168" spans="1:16" x14ac:dyDescent="0.25">
      <c r="A168" s="158" t="s">
        <v>6</v>
      </c>
      <c r="B168" s="151" t="s">
        <v>262</v>
      </c>
      <c r="D168" s="91"/>
      <c r="M168" s="158" t="s">
        <v>17</v>
      </c>
      <c r="N168" s="509" t="s">
        <v>16</v>
      </c>
      <c r="O168" s="509"/>
      <c r="P168" s="509"/>
    </row>
    <row r="169" spans="1:16" x14ac:dyDescent="0.25">
      <c r="A169" s="158" t="s">
        <v>47</v>
      </c>
      <c r="B169" s="151" t="s">
        <v>263</v>
      </c>
      <c r="D169" s="91"/>
      <c r="M169" s="158" t="s">
        <v>156</v>
      </c>
      <c r="N169" s="509" t="s">
        <v>264</v>
      </c>
      <c r="O169" s="509"/>
      <c r="P169" s="509"/>
    </row>
    <row r="170" spans="1:16" x14ac:dyDescent="0.25">
      <c r="A170" s="158" t="s">
        <v>1</v>
      </c>
      <c r="B170" s="151" t="s">
        <v>16</v>
      </c>
      <c r="D170" s="91"/>
      <c r="M170" s="158" t="s">
        <v>265</v>
      </c>
      <c r="N170" s="509" t="s">
        <v>64</v>
      </c>
      <c r="O170" s="509"/>
      <c r="P170" s="509"/>
    </row>
    <row r="171" spans="1:16" x14ac:dyDescent="0.25">
      <c r="A171" s="158" t="s">
        <v>57</v>
      </c>
      <c r="B171" s="151" t="s">
        <v>58</v>
      </c>
      <c r="D171" s="91"/>
      <c r="M171" s="158" t="s">
        <v>73</v>
      </c>
      <c r="N171" s="509" t="s">
        <v>36</v>
      </c>
      <c r="O171" s="509"/>
      <c r="P171" s="509"/>
    </row>
    <row r="172" spans="1:16" ht="15" customHeight="1" x14ac:dyDescent="0.25">
      <c r="A172" s="158" t="s">
        <v>266</v>
      </c>
      <c r="B172" s="151" t="s">
        <v>13</v>
      </c>
      <c r="D172" s="91"/>
      <c r="M172" s="157" t="s">
        <v>0</v>
      </c>
      <c r="N172" s="509" t="s">
        <v>262</v>
      </c>
      <c r="O172" s="509"/>
      <c r="P172" s="509"/>
    </row>
    <row r="173" spans="1:16" ht="15" customHeight="1" x14ac:dyDescent="0.25">
      <c r="A173" s="158" t="s">
        <v>1</v>
      </c>
      <c r="B173" s="151" t="s">
        <v>264</v>
      </c>
      <c r="D173" s="91"/>
      <c r="M173" s="157" t="s">
        <v>267</v>
      </c>
      <c r="N173" s="509" t="s">
        <v>268</v>
      </c>
      <c r="O173" s="509"/>
      <c r="P173" s="509"/>
    </row>
    <row r="174" spans="1:16" x14ac:dyDescent="0.25">
      <c r="A174" s="158" t="s">
        <v>1</v>
      </c>
      <c r="B174" s="151" t="s">
        <v>64</v>
      </c>
      <c r="M174" s="157" t="s">
        <v>269</v>
      </c>
      <c r="N174" s="509" t="s">
        <v>107</v>
      </c>
      <c r="O174" s="509"/>
      <c r="P174" s="509"/>
    </row>
    <row r="175" spans="1:16" x14ac:dyDescent="0.25">
      <c r="A175" s="158" t="s">
        <v>73</v>
      </c>
      <c r="B175" s="151" t="s">
        <v>36</v>
      </c>
      <c r="M175" s="157" t="s">
        <v>267</v>
      </c>
      <c r="N175" s="509" t="s">
        <v>110</v>
      </c>
      <c r="O175" s="509"/>
      <c r="P175" s="509"/>
    </row>
    <row r="176" spans="1:16" x14ac:dyDescent="0.25">
      <c r="A176" s="155" t="s">
        <v>270</v>
      </c>
      <c r="B176" s="159" t="s">
        <v>107</v>
      </c>
      <c r="M176" s="157" t="s">
        <v>54</v>
      </c>
      <c r="N176" s="509" t="s">
        <v>271</v>
      </c>
      <c r="O176" s="509"/>
      <c r="P176" s="509"/>
    </row>
    <row r="177" spans="1:16" x14ac:dyDescent="0.25">
      <c r="A177" s="156" t="s">
        <v>52</v>
      </c>
      <c r="B177" s="159" t="s">
        <v>268</v>
      </c>
      <c r="M177" s="157" t="s">
        <v>269</v>
      </c>
      <c r="N177" s="509" t="s">
        <v>272</v>
      </c>
      <c r="O177" s="509"/>
      <c r="P177" s="509"/>
    </row>
    <row r="178" spans="1:16" x14ac:dyDescent="0.25">
      <c r="A178" s="156" t="s">
        <v>52</v>
      </c>
      <c r="B178" s="159" t="s">
        <v>110</v>
      </c>
      <c r="M178" s="158" t="s">
        <v>73</v>
      </c>
      <c r="N178" s="509" t="s">
        <v>273</v>
      </c>
      <c r="O178" s="509"/>
      <c r="P178" s="509"/>
    </row>
    <row r="179" spans="1:16" x14ac:dyDescent="0.25">
      <c r="A179" s="155" t="s">
        <v>270</v>
      </c>
      <c r="B179" s="159" t="s">
        <v>272</v>
      </c>
      <c r="M179" s="157" t="s">
        <v>274</v>
      </c>
      <c r="N179" s="509" t="s">
        <v>22</v>
      </c>
      <c r="O179" s="509"/>
      <c r="P179" s="509"/>
    </row>
    <row r="180" spans="1:16" x14ac:dyDescent="0.25">
      <c r="A180" s="155" t="s">
        <v>6</v>
      </c>
      <c r="B180" s="159" t="s">
        <v>275</v>
      </c>
      <c r="M180" s="157" t="s">
        <v>269</v>
      </c>
      <c r="N180" s="509" t="s">
        <v>205</v>
      </c>
      <c r="O180" s="509"/>
      <c r="P180" s="509"/>
    </row>
    <row r="181" spans="1:16" x14ac:dyDescent="0.25">
      <c r="A181" s="158" t="s">
        <v>6</v>
      </c>
      <c r="B181" s="159" t="s">
        <v>8</v>
      </c>
      <c r="M181" s="157" t="s">
        <v>109</v>
      </c>
      <c r="N181" s="509" t="s">
        <v>35</v>
      </c>
      <c r="O181" s="509"/>
      <c r="P181" s="509"/>
    </row>
    <row r="182" spans="1:16" x14ac:dyDescent="0.25">
      <c r="A182" s="158" t="s">
        <v>73</v>
      </c>
      <c r="B182" s="159" t="s">
        <v>276</v>
      </c>
      <c r="M182" s="158" t="s">
        <v>109</v>
      </c>
      <c r="N182" s="509" t="s">
        <v>208</v>
      </c>
      <c r="O182" s="509"/>
      <c r="P182" s="509"/>
    </row>
    <row r="183" spans="1:16" x14ac:dyDescent="0.25">
      <c r="A183" s="157" t="s">
        <v>274</v>
      </c>
      <c r="B183" s="159" t="s">
        <v>22</v>
      </c>
      <c r="M183" s="157" t="s">
        <v>274</v>
      </c>
      <c r="N183" s="509" t="s">
        <v>22</v>
      </c>
      <c r="O183" s="509"/>
      <c r="P183" s="509"/>
    </row>
    <row r="184" spans="1:16" x14ac:dyDescent="0.25">
      <c r="A184" s="158" t="s">
        <v>61</v>
      </c>
      <c r="B184" s="159" t="s">
        <v>106</v>
      </c>
      <c r="M184" s="157" t="s">
        <v>269</v>
      </c>
      <c r="N184" s="509" t="s">
        <v>272</v>
      </c>
      <c r="O184" s="509"/>
      <c r="P184" s="509"/>
    </row>
    <row r="185" spans="1:16" x14ac:dyDescent="0.25">
      <c r="A185" s="158" t="s">
        <v>59</v>
      </c>
      <c r="B185" s="159" t="s">
        <v>186</v>
      </c>
      <c r="M185" s="157" t="s">
        <v>267</v>
      </c>
      <c r="N185" s="509" t="s">
        <v>209</v>
      </c>
      <c r="O185" s="509"/>
      <c r="P185" s="509"/>
    </row>
    <row r="186" spans="1:16" x14ac:dyDescent="0.25">
      <c r="A186" s="158" t="s">
        <v>59</v>
      </c>
      <c r="B186" s="159" t="s">
        <v>172</v>
      </c>
      <c r="M186" s="157" t="s">
        <v>277</v>
      </c>
      <c r="N186" s="509" t="s">
        <v>212</v>
      </c>
      <c r="O186" s="509"/>
      <c r="P186" s="509"/>
    </row>
    <row r="187" spans="1:16" x14ac:dyDescent="0.25">
      <c r="A187" s="155" t="s">
        <v>270</v>
      </c>
      <c r="B187" s="159" t="s">
        <v>205</v>
      </c>
      <c r="M187" s="157" t="s">
        <v>274</v>
      </c>
      <c r="N187" s="509" t="s">
        <v>203</v>
      </c>
      <c r="O187" s="509"/>
      <c r="P187" s="509"/>
    </row>
    <row r="188" spans="1:16" x14ac:dyDescent="0.25">
      <c r="A188" s="155" t="s">
        <v>270</v>
      </c>
      <c r="B188" s="159" t="s">
        <v>205</v>
      </c>
      <c r="M188" s="158" t="s">
        <v>109</v>
      </c>
      <c r="N188" s="509" t="s">
        <v>208</v>
      </c>
      <c r="O188" s="509"/>
      <c r="P188" s="509"/>
    </row>
    <row r="189" spans="1:16" x14ac:dyDescent="0.25">
      <c r="A189" s="158" t="s">
        <v>59</v>
      </c>
      <c r="B189" s="159" t="s">
        <v>278</v>
      </c>
      <c r="M189" s="157" t="s">
        <v>0</v>
      </c>
      <c r="N189" s="509" t="s">
        <v>30</v>
      </c>
      <c r="O189" s="509"/>
      <c r="P189" s="509"/>
    </row>
    <row r="190" spans="1:16" x14ac:dyDescent="0.25">
      <c r="A190" s="158" t="s">
        <v>109</v>
      </c>
      <c r="B190" s="159" t="s">
        <v>35</v>
      </c>
      <c r="M190" s="158" t="s">
        <v>109</v>
      </c>
      <c r="N190" s="509" t="s">
        <v>279</v>
      </c>
      <c r="O190" s="509"/>
      <c r="P190" s="509"/>
    </row>
    <row r="191" spans="1:16" x14ac:dyDescent="0.25">
      <c r="A191" s="155" t="s">
        <v>2</v>
      </c>
      <c r="B191" s="159" t="s">
        <v>156</v>
      </c>
      <c r="M191" s="158" t="s">
        <v>1</v>
      </c>
      <c r="N191" s="509" t="s">
        <v>108</v>
      </c>
      <c r="O191" s="509"/>
      <c r="P191" s="509"/>
    </row>
    <row r="192" spans="1:16" x14ac:dyDescent="0.25">
      <c r="A192" s="156" t="s">
        <v>52</v>
      </c>
      <c r="B192" s="159" t="s">
        <v>209</v>
      </c>
      <c r="M192" s="158" t="s">
        <v>280</v>
      </c>
      <c r="N192" s="509" t="s">
        <v>25</v>
      </c>
      <c r="O192" s="509"/>
      <c r="P192" s="509"/>
    </row>
    <row r="193" spans="1:16" x14ac:dyDescent="0.25">
      <c r="A193" s="158" t="s">
        <v>109</v>
      </c>
      <c r="B193" s="159" t="s">
        <v>208</v>
      </c>
      <c r="M193" s="158" t="s">
        <v>109</v>
      </c>
      <c r="N193" s="509" t="s">
        <v>35</v>
      </c>
      <c r="O193" s="509"/>
      <c r="P193" s="509"/>
    </row>
    <row r="194" spans="1:16" x14ac:dyDescent="0.25">
      <c r="A194" s="158" t="s">
        <v>1</v>
      </c>
      <c r="B194" s="156" t="s">
        <v>39</v>
      </c>
      <c r="M194" s="158" t="s">
        <v>277</v>
      </c>
      <c r="N194" s="509" t="s">
        <v>271</v>
      </c>
      <c r="O194" s="509"/>
      <c r="P194" s="509"/>
    </row>
    <row r="195" spans="1:16" x14ac:dyDescent="0.25">
      <c r="A195" s="158" t="s">
        <v>61</v>
      </c>
      <c r="B195" s="156" t="s">
        <v>106</v>
      </c>
      <c r="M195" s="158" t="s">
        <v>73</v>
      </c>
      <c r="N195" s="509" t="s">
        <v>273</v>
      </c>
      <c r="O195" s="509"/>
      <c r="P195" s="509"/>
    </row>
    <row r="196" spans="1:16" x14ac:dyDescent="0.25">
      <c r="A196" s="158" t="s">
        <v>59</v>
      </c>
      <c r="B196" s="156" t="s">
        <v>180</v>
      </c>
      <c r="M196" s="157" t="s">
        <v>267</v>
      </c>
      <c r="N196" s="509" t="s">
        <v>281</v>
      </c>
      <c r="O196" s="509"/>
      <c r="P196" s="509"/>
    </row>
    <row r="197" spans="1:16" x14ac:dyDescent="0.25">
      <c r="A197" s="158" t="s">
        <v>1</v>
      </c>
      <c r="B197" s="159" t="s">
        <v>212</v>
      </c>
      <c r="M197" s="157" t="s">
        <v>269</v>
      </c>
      <c r="N197" s="509" t="s">
        <v>204</v>
      </c>
      <c r="O197" s="509"/>
      <c r="P197" s="509"/>
    </row>
    <row r="198" spans="1:16" x14ac:dyDescent="0.25">
      <c r="A198" s="157" t="s">
        <v>274</v>
      </c>
      <c r="B198" s="156" t="s">
        <v>203</v>
      </c>
      <c r="M198" s="157" t="s">
        <v>282</v>
      </c>
      <c r="N198" s="509" t="s">
        <v>283</v>
      </c>
      <c r="O198" s="509"/>
      <c r="P198" s="509"/>
    </row>
    <row r="199" spans="1:16" x14ac:dyDescent="0.25">
      <c r="A199" s="158" t="s">
        <v>6</v>
      </c>
      <c r="B199" s="156" t="s">
        <v>30</v>
      </c>
      <c r="M199" s="157" t="s">
        <v>277</v>
      </c>
      <c r="N199" s="509" t="s">
        <v>21</v>
      </c>
      <c r="O199" s="509"/>
      <c r="P199" s="509"/>
    </row>
    <row r="200" spans="1:16" x14ac:dyDescent="0.25">
      <c r="A200" s="158" t="s">
        <v>109</v>
      </c>
      <c r="B200" s="156" t="s">
        <v>279</v>
      </c>
      <c r="M200" s="157" t="s">
        <v>100</v>
      </c>
      <c r="N200" s="509" t="s">
        <v>27</v>
      </c>
      <c r="O200" s="509"/>
      <c r="P200" s="509"/>
    </row>
    <row r="201" spans="1:16" x14ac:dyDescent="0.25">
      <c r="A201" s="158" t="s">
        <v>62</v>
      </c>
      <c r="B201" s="156" t="s">
        <v>98</v>
      </c>
      <c r="M201" s="157" t="s">
        <v>280</v>
      </c>
      <c r="N201" s="509" t="s">
        <v>26</v>
      </c>
      <c r="O201" s="509"/>
      <c r="P201" s="509"/>
    </row>
    <row r="202" spans="1:16" x14ac:dyDescent="0.25">
      <c r="A202" s="158" t="s">
        <v>1</v>
      </c>
      <c r="B202" s="156" t="s">
        <v>108</v>
      </c>
      <c r="M202" s="157" t="s">
        <v>100</v>
      </c>
      <c r="N202" s="509" t="s">
        <v>207</v>
      </c>
      <c r="O202" s="509"/>
      <c r="P202" s="509"/>
    </row>
    <row r="203" spans="1:16" x14ac:dyDescent="0.25">
      <c r="A203" s="158" t="s">
        <v>2</v>
      </c>
      <c r="B203" s="156" t="s">
        <v>15</v>
      </c>
      <c r="M203" s="157" t="s">
        <v>100</v>
      </c>
      <c r="N203" s="509" t="s">
        <v>284</v>
      </c>
      <c r="O203" s="509"/>
      <c r="P203" s="509"/>
    </row>
    <row r="204" spans="1:16" x14ac:dyDescent="0.25">
      <c r="A204" s="155" t="s">
        <v>2</v>
      </c>
      <c r="B204" s="156" t="s">
        <v>67</v>
      </c>
      <c r="M204" s="157" t="s">
        <v>269</v>
      </c>
      <c r="N204" s="509" t="s">
        <v>285</v>
      </c>
      <c r="O204" s="509"/>
      <c r="P204" s="509"/>
    </row>
    <row r="205" spans="1:16" x14ac:dyDescent="0.25">
      <c r="A205" s="158" t="s">
        <v>57</v>
      </c>
      <c r="B205" s="156" t="s">
        <v>25</v>
      </c>
      <c r="M205" s="157" t="s">
        <v>40</v>
      </c>
      <c r="N205" s="509" t="s">
        <v>286</v>
      </c>
      <c r="O205" s="509"/>
      <c r="P205" s="509"/>
    </row>
    <row r="206" spans="1:16" x14ac:dyDescent="0.25">
      <c r="A206" s="158" t="s">
        <v>57</v>
      </c>
      <c r="B206" s="156" t="s">
        <v>58</v>
      </c>
      <c r="M206" s="157" t="s">
        <v>54</v>
      </c>
      <c r="N206" s="509" t="s">
        <v>271</v>
      </c>
      <c r="O206" s="509"/>
      <c r="P206" s="509"/>
    </row>
    <row r="207" spans="1:16" x14ac:dyDescent="0.25">
      <c r="A207" s="158" t="s">
        <v>1</v>
      </c>
      <c r="B207" s="156" t="s">
        <v>211</v>
      </c>
      <c r="M207" s="157" t="s">
        <v>73</v>
      </c>
      <c r="N207" s="509" t="s">
        <v>273</v>
      </c>
      <c r="O207" s="509"/>
      <c r="P207" s="509"/>
    </row>
    <row r="208" spans="1:16" x14ac:dyDescent="0.25">
      <c r="A208" s="158" t="s">
        <v>6</v>
      </c>
      <c r="B208" s="156" t="s">
        <v>17</v>
      </c>
      <c r="M208" s="157" t="s">
        <v>1</v>
      </c>
      <c r="N208" s="509" t="s">
        <v>176</v>
      </c>
      <c r="O208" s="509"/>
      <c r="P208" s="509"/>
    </row>
    <row r="209" spans="1:16" x14ac:dyDescent="0.25">
      <c r="A209" s="155" t="s">
        <v>270</v>
      </c>
      <c r="B209" s="156" t="s">
        <v>204</v>
      </c>
      <c r="M209" s="157" t="s">
        <v>109</v>
      </c>
      <c r="N209" s="509" t="s">
        <v>287</v>
      </c>
      <c r="O209" s="509"/>
      <c r="P209" s="509"/>
    </row>
    <row r="210" spans="1:16" x14ac:dyDescent="0.25">
      <c r="A210" s="156" t="s">
        <v>52</v>
      </c>
      <c r="B210" s="156" t="s">
        <v>281</v>
      </c>
      <c r="M210" s="157" t="s">
        <v>104</v>
      </c>
      <c r="N210" s="509" t="s">
        <v>173</v>
      </c>
      <c r="O210" s="509"/>
      <c r="P210" s="509"/>
    </row>
    <row r="211" spans="1:16" x14ac:dyDescent="0.25">
      <c r="A211" s="158" t="s">
        <v>1</v>
      </c>
      <c r="B211" s="156" t="s">
        <v>211</v>
      </c>
      <c r="M211" s="149"/>
      <c r="N211" s="149"/>
    </row>
    <row r="212" spans="1:16" x14ac:dyDescent="0.25">
      <c r="A212" s="158" t="s">
        <v>1</v>
      </c>
      <c r="B212" s="156" t="s">
        <v>17</v>
      </c>
      <c r="M212" s="149"/>
      <c r="N212" s="149"/>
    </row>
    <row r="213" spans="1:16" x14ac:dyDescent="0.25">
      <c r="A213" s="158" t="s">
        <v>1</v>
      </c>
      <c r="B213" s="156" t="s">
        <v>54</v>
      </c>
      <c r="M213" s="149"/>
      <c r="N213" s="149"/>
    </row>
    <row r="214" spans="1:16" x14ac:dyDescent="0.25">
      <c r="A214" s="158" t="s">
        <v>2</v>
      </c>
      <c r="B214" s="156" t="s">
        <v>72</v>
      </c>
      <c r="M214" s="149"/>
      <c r="N214" s="149"/>
    </row>
    <row r="215" spans="1:16" x14ac:dyDescent="0.25">
      <c r="A215" s="158" t="s">
        <v>23</v>
      </c>
      <c r="B215" s="156" t="s">
        <v>274</v>
      </c>
      <c r="M215" s="149"/>
      <c r="N215" s="149"/>
    </row>
    <row r="216" spans="1:16" x14ac:dyDescent="0.25">
      <c r="A216" s="158" t="s">
        <v>23</v>
      </c>
      <c r="B216" s="156" t="s">
        <v>173</v>
      </c>
      <c r="M216" s="149"/>
      <c r="N216" s="149"/>
    </row>
    <row r="217" spans="1:16" x14ac:dyDescent="0.25">
      <c r="A217" s="158" t="s">
        <v>2</v>
      </c>
      <c r="B217" s="156" t="s">
        <v>283</v>
      </c>
      <c r="M217" s="149"/>
      <c r="N217" s="149"/>
    </row>
    <row r="218" spans="1:16" x14ac:dyDescent="0.25">
      <c r="A218" s="156" t="s">
        <v>52</v>
      </c>
      <c r="B218" s="156" t="s">
        <v>4</v>
      </c>
      <c r="M218" s="149"/>
      <c r="N218" s="149"/>
    </row>
    <row r="219" spans="1:16" x14ac:dyDescent="0.25">
      <c r="A219" s="156" t="s">
        <v>6</v>
      </c>
      <c r="B219" s="156" t="s">
        <v>21</v>
      </c>
      <c r="M219" s="149"/>
      <c r="N219" s="149"/>
    </row>
    <row r="220" spans="1:16" x14ac:dyDescent="0.25">
      <c r="A220" s="156" t="s">
        <v>100</v>
      </c>
      <c r="B220" s="156" t="s">
        <v>27</v>
      </c>
      <c r="M220" s="149"/>
      <c r="N220" s="149"/>
    </row>
    <row r="221" spans="1:16" x14ac:dyDescent="0.25">
      <c r="A221" s="156" t="s">
        <v>57</v>
      </c>
      <c r="B221" s="156" t="s">
        <v>26</v>
      </c>
      <c r="M221" s="149"/>
      <c r="N221" s="149"/>
    </row>
    <row r="222" spans="1:16" x14ac:dyDescent="0.25">
      <c r="A222" s="156" t="s">
        <v>100</v>
      </c>
      <c r="B222" s="156" t="s">
        <v>207</v>
      </c>
      <c r="M222" s="149"/>
      <c r="N222" s="149"/>
    </row>
    <row r="223" spans="1:16" x14ac:dyDescent="0.25">
      <c r="A223" s="156" t="s">
        <v>100</v>
      </c>
      <c r="B223" s="156" t="s">
        <v>284</v>
      </c>
      <c r="M223" s="149"/>
      <c r="N223" s="149"/>
    </row>
    <row r="224" spans="1:16" x14ac:dyDescent="0.25">
      <c r="A224" s="156" t="s">
        <v>270</v>
      </c>
      <c r="B224" s="156" t="s">
        <v>285</v>
      </c>
      <c r="M224" s="149"/>
      <c r="N224" s="149"/>
    </row>
    <row r="225" spans="1:2" x14ac:dyDescent="0.25">
      <c r="A225" s="156" t="s">
        <v>100</v>
      </c>
      <c r="B225" s="156" t="s">
        <v>286</v>
      </c>
    </row>
    <row r="226" spans="1:2" x14ac:dyDescent="0.25">
      <c r="A226" s="157" t="s">
        <v>1</v>
      </c>
      <c r="B226" s="156" t="s">
        <v>176</v>
      </c>
    </row>
    <row r="227" spans="1:2" x14ac:dyDescent="0.25">
      <c r="A227" s="157" t="s">
        <v>109</v>
      </c>
      <c r="B227" s="156" t="s">
        <v>287</v>
      </c>
    </row>
    <row r="228" spans="1:2" x14ac:dyDescent="0.25">
      <c r="A228" s="157" t="s">
        <v>104</v>
      </c>
      <c r="B228" s="156" t="s">
        <v>173</v>
      </c>
    </row>
  </sheetData>
  <autoFilter ref="A3:Z152"/>
  <mergeCells count="50">
    <mergeCell ref="A99:A101"/>
    <mergeCell ref="N172:P172"/>
    <mergeCell ref="A79:A80"/>
    <mergeCell ref="N167:P167"/>
    <mergeCell ref="N168:P168"/>
    <mergeCell ref="N169:P169"/>
    <mergeCell ref="N170:P170"/>
    <mergeCell ref="N171:P171"/>
    <mergeCell ref="N185:P185"/>
    <mergeCell ref="N186:P186"/>
    <mergeCell ref="N179:P179"/>
    <mergeCell ref="N180:P180"/>
    <mergeCell ref="M1:N2"/>
    <mergeCell ref="O1:X1"/>
    <mergeCell ref="O2:S2"/>
    <mergeCell ref="T2:X2"/>
    <mergeCell ref="N173:P173"/>
    <mergeCell ref="N174:P174"/>
    <mergeCell ref="N175:P175"/>
    <mergeCell ref="N176:P176"/>
    <mergeCell ref="N195:P195"/>
    <mergeCell ref="N196:P196"/>
    <mergeCell ref="N177:P177"/>
    <mergeCell ref="N178:P178"/>
    <mergeCell ref="N191:P191"/>
    <mergeCell ref="N192:P192"/>
    <mergeCell ref="N181:P181"/>
    <mergeCell ref="N182:P182"/>
    <mergeCell ref="N183:P183"/>
    <mergeCell ref="N184:P184"/>
    <mergeCell ref="N187:P187"/>
    <mergeCell ref="N188:P188"/>
    <mergeCell ref="N189:P189"/>
    <mergeCell ref="N190:P190"/>
    <mergeCell ref="N193:P193"/>
    <mergeCell ref="N194:P194"/>
    <mergeCell ref="N209:P209"/>
    <mergeCell ref="N210:P210"/>
    <mergeCell ref="N202:P202"/>
    <mergeCell ref="N203:P203"/>
    <mergeCell ref="N204:P204"/>
    <mergeCell ref="N205:P205"/>
    <mergeCell ref="N206:P206"/>
    <mergeCell ref="N207:P207"/>
    <mergeCell ref="N197:P197"/>
    <mergeCell ref="N198:P198"/>
    <mergeCell ref="N201:P201"/>
    <mergeCell ref="N208:P208"/>
    <mergeCell ref="N199:P199"/>
    <mergeCell ref="N200:P200"/>
  </mergeCells>
  <phoneticPr fontId="7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9"/>
  <sheetViews>
    <sheetView topLeftCell="A22" workbookViewId="0">
      <selection activeCell="H95" activeCellId="1" sqref="I29 H95"/>
    </sheetView>
  </sheetViews>
  <sheetFormatPr baseColWidth="10" defaultRowHeight="15" x14ac:dyDescent="0.25"/>
  <cols>
    <col min="1" max="1" width="32.140625" bestFit="1" customWidth="1"/>
    <col min="2" max="2" width="44" style="91" bestFit="1" customWidth="1"/>
    <col min="3" max="3" width="9.42578125" style="24" hidden="1" customWidth="1"/>
    <col min="4" max="4" width="10.5703125" style="24" bestFit="1" customWidth="1"/>
    <col min="5" max="5" width="8.5703125" style="24" hidden="1" customWidth="1"/>
    <col min="6" max="6" width="10.5703125" style="24" bestFit="1" customWidth="1"/>
    <col min="7" max="7" width="8.5703125" style="24" hidden="1" customWidth="1"/>
    <col min="8" max="8" width="10.5703125" style="24" bestFit="1" customWidth="1"/>
    <col min="9" max="9" width="8.5703125" style="24" hidden="1" customWidth="1"/>
    <col min="10" max="10" width="10.5703125" style="24" bestFit="1" customWidth="1"/>
    <col min="11" max="11" width="8.5703125" style="24" hidden="1" customWidth="1"/>
    <col min="12" max="12" width="10.5703125" style="24" bestFit="1" customWidth="1"/>
    <col min="13" max="13" width="23.42578125" style="116" bestFit="1" customWidth="1"/>
    <col min="14" max="14" width="65" bestFit="1" customWidth="1"/>
    <col min="15" max="15" width="16.140625" bestFit="1" customWidth="1"/>
    <col min="16" max="16" width="10" bestFit="1" customWidth="1"/>
    <col min="17" max="20" width="8.140625" bestFit="1" customWidth="1"/>
    <col min="21" max="21" width="9.140625" bestFit="1" customWidth="1"/>
    <col min="22" max="25" width="8.140625" bestFit="1" customWidth="1"/>
    <col min="26" max="26" width="9.140625" bestFit="1" customWidth="1"/>
  </cols>
  <sheetData>
    <row r="1" spans="1:26" x14ac:dyDescent="0.25">
      <c r="O1" s="515" t="s">
        <v>255</v>
      </c>
      <c r="P1" s="516"/>
      <c r="Q1" s="510" t="s">
        <v>256</v>
      </c>
      <c r="R1" s="511"/>
      <c r="S1" s="511"/>
      <c r="T1" s="511"/>
      <c r="U1" s="511"/>
      <c r="V1" s="511"/>
      <c r="W1" s="511"/>
      <c r="X1" s="511"/>
      <c r="Y1" s="511"/>
      <c r="Z1" s="512"/>
    </row>
    <row r="2" spans="1:26" ht="18" x14ac:dyDescent="0.35">
      <c r="O2" s="517"/>
      <c r="P2" s="518"/>
      <c r="Q2" s="514" t="s">
        <v>249</v>
      </c>
      <c r="R2" s="514"/>
      <c r="S2" s="514"/>
      <c r="T2" s="514"/>
      <c r="U2" s="514"/>
      <c r="V2" s="514" t="s">
        <v>257</v>
      </c>
      <c r="W2" s="514"/>
      <c r="X2" s="514"/>
      <c r="Y2" s="514"/>
      <c r="Z2" s="514"/>
    </row>
    <row r="3" spans="1:26" ht="37.5" customHeight="1" x14ac:dyDescent="0.25">
      <c r="A3" s="66" t="s">
        <v>93</v>
      </c>
      <c r="B3" s="66" t="s">
        <v>99</v>
      </c>
      <c r="C3" s="18" t="s">
        <v>111</v>
      </c>
      <c r="D3" s="18" t="s">
        <v>116</v>
      </c>
      <c r="E3" s="19" t="s">
        <v>112</v>
      </c>
      <c r="F3" s="19" t="s">
        <v>117</v>
      </c>
      <c r="G3" s="20" t="s">
        <v>113</v>
      </c>
      <c r="H3" s="20" t="s">
        <v>118</v>
      </c>
      <c r="I3" s="21" t="s">
        <v>115</v>
      </c>
      <c r="J3" s="21" t="s">
        <v>119</v>
      </c>
      <c r="K3" s="22" t="s">
        <v>114</v>
      </c>
      <c r="L3" s="22" t="s">
        <v>120</v>
      </c>
      <c r="M3" s="66" t="s">
        <v>75</v>
      </c>
      <c r="N3" s="11" t="s">
        <v>76</v>
      </c>
      <c r="O3" s="145" t="s">
        <v>247</v>
      </c>
      <c r="P3" s="146" t="s">
        <v>248</v>
      </c>
      <c r="Q3" s="18" t="s">
        <v>250</v>
      </c>
      <c r="R3" s="19" t="s">
        <v>251</v>
      </c>
      <c r="S3" s="20" t="s">
        <v>252</v>
      </c>
      <c r="T3" s="21" t="s">
        <v>253</v>
      </c>
      <c r="U3" s="22" t="s">
        <v>254</v>
      </c>
      <c r="V3" s="18" t="s">
        <v>250</v>
      </c>
      <c r="W3" s="19" t="s">
        <v>251</v>
      </c>
      <c r="X3" s="20" t="s">
        <v>252</v>
      </c>
      <c r="Y3" s="21" t="s">
        <v>253</v>
      </c>
      <c r="Z3" s="22" t="s">
        <v>254</v>
      </c>
    </row>
    <row r="4" spans="1:26" x14ac:dyDescent="0.25">
      <c r="A4" s="82" t="s">
        <v>3</v>
      </c>
      <c r="B4" s="96" t="s">
        <v>218</v>
      </c>
      <c r="C4" s="37">
        <v>4.1428571428571433E-2</v>
      </c>
      <c r="D4" s="37">
        <v>5.4809516666666669E-2</v>
      </c>
      <c r="E4" s="37">
        <v>5.1785714285714289E-2</v>
      </c>
      <c r="F4" s="37">
        <v>6.8511895833333336E-2</v>
      </c>
      <c r="G4" s="37">
        <v>6.2142857142857146E-2</v>
      </c>
      <c r="H4" s="37">
        <v>8.2214275000000003E-2</v>
      </c>
      <c r="I4" s="37">
        <v>7.2499999999999995E-2</v>
      </c>
      <c r="J4" s="37">
        <v>9.5916654166666657E-2</v>
      </c>
      <c r="K4" s="37">
        <v>8.2857142857142865E-2</v>
      </c>
      <c r="L4" s="37">
        <v>0.10961903333333334</v>
      </c>
      <c r="M4" s="139" t="s">
        <v>130</v>
      </c>
      <c r="N4" s="43" t="s">
        <v>131</v>
      </c>
      <c r="O4" s="144">
        <v>2500</v>
      </c>
      <c r="P4" s="144">
        <v>1</v>
      </c>
      <c r="Q4" s="41">
        <f>D4*O4</f>
        <v>137.02379166666668</v>
      </c>
      <c r="R4" s="41">
        <f>F4*O4</f>
        <v>171.27973958333334</v>
      </c>
      <c r="S4" s="41">
        <f>H4*O4</f>
        <v>205.53568749999999</v>
      </c>
      <c r="T4" s="41">
        <f>J4*O4</f>
        <v>239.79163541666665</v>
      </c>
      <c r="U4" s="41">
        <f>L4*O4</f>
        <v>274.04758333333336</v>
      </c>
      <c r="V4" s="41">
        <f>Q4/P4</f>
        <v>137.02379166666668</v>
      </c>
      <c r="W4" s="41">
        <f>R4/P4</f>
        <v>171.27973958333334</v>
      </c>
      <c r="X4" s="41">
        <f>S4/P4</f>
        <v>205.53568749999999</v>
      </c>
      <c r="Y4" s="41">
        <f>T4/P4</f>
        <v>239.79163541666665</v>
      </c>
      <c r="Z4" s="41">
        <f>U4/P4</f>
        <v>274.04758333333336</v>
      </c>
    </row>
    <row r="5" spans="1:26" x14ac:dyDescent="0.25">
      <c r="A5" s="83" t="s">
        <v>3</v>
      </c>
      <c r="B5" s="85" t="s">
        <v>214</v>
      </c>
      <c r="C5" s="36">
        <v>4.8031274739990908E-2</v>
      </c>
      <c r="D5" s="36">
        <v>6.3544816116135994E-2</v>
      </c>
      <c r="E5" s="36">
        <v>6.0039093424988636E-2</v>
      </c>
      <c r="F5" s="36">
        <v>7.943102014517002E-2</v>
      </c>
      <c r="G5" s="36">
        <v>7.2046912109986358E-2</v>
      </c>
      <c r="H5" s="36">
        <v>9.5317224174204004E-2</v>
      </c>
      <c r="I5" s="36">
        <v>8.4054730794984087E-2</v>
      </c>
      <c r="J5" s="36">
        <v>0.111203428203238</v>
      </c>
      <c r="K5" s="36">
        <v>9.6062549479981815E-2</v>
      </c>
      <c r="L5" s="36">
        <v>0.12708963223227199</v>
      </c>
      <c r="M5" s="140" t="s">
        <v>213</v>
      </c>
      <c r="N5" s="43"/>
      <c r="O5" s="144">
        <v>2500</v>
      </c>
      <c r="P5" s="144">
        <v>1</v>
      </c>
      <c r="Q5" s="41">
        <f t="shared" ref="Q5:Q67" si="0">D5*O5</f>
        <v>158.86204029033999</v>
      </c>
      <c r="R5" s="41">
        <f t="shared" ref="R5:R67" si="1">F5*O5</f>
        <v>198.57755036292505</v>
      </c>
      <c r="S5" s="41">
        <f t="shared" ref="S5:S67" si="2">H5*O5</f>
        <v>238.29306043551</v>
      </c>
      <c r="T5" s="41">
        <f t="shared" ref="T5:T67" si="3">J5*O5</f>
        <v>278.00857050809503</v>
      </c>
      <c r="U5" s="41">
        <f t="shared" ref="U5:U67" si="4">L5*O5</f>
        <v>317.72408058067998</v>
      </c>
      <c r="V5" s="41">
        <f t="shared" ref="V5:V67" si="5">Q5/P5</f>
        <v>158.86204029033999</v>
      </c>
      <c r="W5" s="41">
        <f t="shared" ref="W5:W67" si="6">R5/P5</f>
        <v>198.57755036292505</v>
      </c>
      <c r="X5" s="41">
        <f t="shared" ref="X5:X67" si="7">S5/P5</f>
        <v>238.29306043551</v>
      </c>
      <c r="Y5" s="41">
        <f t="shared" ref="Y5:Y67" si="8">T5/P5</f>
        <v>278.00857050809503</v>
      </c>
      <c r="Z5" s="41">
        <f t="shared" ref="Z5:Z67" si="9">U5/P5</f>
        <v>317.72408058067998</v>
      </c>
    </row>
    <row r="6" spans="1:26" x14ac:dyDescent="0.25">
      <c r="A6" s="81" t="s">
        <v>182</v>
      </c>
      <c r="B6" s="85" t="s">
        <v>214</v>
      </c>
      <c r="C6" s="36">
        <v>0.16582986056660684</v>
      </c>
      <c r="D6" s="36">
        <v>0.21939097084791426</v>
      </c>
      <c r="E6" s="36">
        <v>0.20728732570825856</v>
      </c>
      <c r="F6" s="36">
        <v>0.27423871355989282</v>
      </c>
      <c r="G6" s="36">
        <v>0.24874479084991025</v>
      </c>
      <c r="H6" s="36">
        <v>0.32908645627187133</v>
      </c>
      <c r="I6" s="36">
        <v>0.29020225599156196</v>
      </c>
      <c r="J6" s="36">
        <v>0.38393419898384989</v>
      </c>
      <c r="K6" s="36">
        <v>0.33165972113321368</v>
      </c>
      <c r="L6" s="36">
        <v>0.43878194169582851</v>
      </c>
      <c r="M6" s="140" t="s">
        <v>213</v>
      </c>
      <c r="N6" s="43"/>
      <c r="O6" s="144">
        <v>2500</v>
      </c>
      <c r="P6" s="144">
        <v>1</v>
      </c>
      <c r="Q6" s="41">
        <f t="shared" si="0"/>
        <v>548.4774271197856</v>
      </c>
      <c r="R6" s="41">
        <f t="shared" si="1"/>
        <v>685.59678389973203</v>
      </c>
      <c r="S6" s="41">
        <f t="shared" si="2"/>
        <v>822.71614067967835</v>
      </c>
      <c r="T6" s="41">
        <f t="shared" si="3"/>
        <v>959.83549745962478</v>
      </c>
      <c r="U6" s="41">
        <f t="shared" si="4"/>
        <v>1096.9548542395712</v>
      </c>
      <c r="V6" s="41">
        <f t="shared" si="5"/>
        <v>548.4774271197856</v>
      </c>
      <c r="W6" s="41">
        <f t="shared" si="6"/>
        <v>685.59678389973203</v>
      </c>
      <c r="X6" s="41">
        <f t="shared" si="7"/>
        <v>822.71614067967835</v>
      </c>
      <c r="Y6" s="41">
        <f t="shared" si="8"/>
        <v>959.83549745962478</v>
      </c>
      <c r="Z6" s="41">
        <f t="shared" si="9"/>
        <v>1096.9548542395712</v>
      </c>
    </row>
    <row r="7" spans="1:26" x14ac:dyDescent="0.25">
      <c r="A7" s="81" t="s">
        <v>4</v>
      </c>
      <c r="B7" s="85" t="s">
        <v>214</v>
      </c>
      <c r="C7" s="36">
        <v>1.3848916202570057E-2</v>
      </c>
      <c r="D7" s="36">
        <v>3.0548862620709202E-2</v>
      </c>
      <c r="E7" s="36">
        <v>1.7311145253212572E-2</v>
      </c>
      <c r="F7" s="36">
        <v>3.8186078275886506E-2</v>
      </c>
      <c r="G7" s="36">
        <v>2.0773374303855088E-2</v>
      </c>
      <c r="H7" s="36">
        <v>4.582329393106381E-2</v>
      </c>
      <c r="I7" s="36">
        <v>2.4235603354497599E-2</v>
      </c>
      <c r="J7" s="36">
        <v>5.3460509586241108E-2</v>
      </c>
      <c r="K7" s="36">
        <v>2.7697832405140115E-2</v>
      </c>
      <c r="L7" s="36">
        <v>6.1097725241418405E-2</v>
      </c>
      <c r="M7" s="140" t="s">
        <v>213</v>
      </c>
      <c r="N7" s="43"/>
      <c r="O7" s="144">
        <v>2500</v>
      </c>
      <c r="P7" s="144">
        <v>1</v>
      </c>
      <c r="Q7" s="41">
        <f t="shared" si="0"/>
        <v>76.372156551773003</v>
      </c>
      <c r="R7" s="41">
        <f t="shared" si="1"/>
        <v>95.465195689716268</v>
      </c>
      <c r="S7" s="41">
        <f t="shared" si="2"/>
        <v>114.55823482765953</v>
      </c>
      <c r="T7" s="41">
        <f t="shared" si="3"/>
        <v>133.65127396560277</v>
      </c>
      <c r="U7" s="41">
        <f t="shared" si="4"/>
        <v>152.74431310354601</v>
      </c>
      <c r="V7" s="41">
        <f t="shared" si="5"/>
        <v>76.372156551773003</v>
      </c>
      <c r="W7" s="41">
        <f t="shared" si="6"/>
        <v>95.465195689716268</v>
      </c>
      <c r="X7" s="41">
        <f t="shared" si="7"/>
        <v>114.55823482765953</v>
      </c>
      <c r="Y7" s="41">
        <f t="shared" si="8"/>
        <v>133.65127396560277</v>
      </c>
      <c r="Z7" s="41">
        <f t="shared" si="9"/>
        <v>152.74431310354601</v>
      </c>
    </row>
    <row r="8" spans="1:26" x14ac:dyDescent="0.25">
      <c r="A8" s="81" t="s">
        <v>156</v>
      </c>
      <c r="B8" s="85" t="s">
        <v>214</v>
      </c>
      <c r="C8" s="36">
        <v>5.0088755536270436E-2</v>
      </c>
      <c r="D8" s="36">
        <v>0.14975536130234138</v>
      </c>
      <c r="E8" s="36">
        <v>6.2610944420338044E-2</v>
      </c>
      <c r="F8" s="36">
        <v>0.18719420162792669</v>
      </c>
      <c r="G8" s="36">
        <v>7.5133133304405658E-2</v>
      </c>
      <c r="H8" s="36">
        <v>0.22463304195351205</v>
      </c>
      <c r="I8" s="36">
        <v>8.7655322188473273E-2</v>
      </c>
      <c r="J8" s="36">
        <v>0.26207188227909739</v>
      </c>
      <c r="K8" s="36">
        <v>0.10017751107254087</v>
      </c>
      <c r="L8" s="36">
        <v>0.29951072260468276</v>
      </c>
      <c r="M8" s="140" t="s">
        <v>213</v>
      </c>
      <c r="N8" s="43"/>
      <c r="O8" s="144">
        <v>2500</v>
      </c>
      <c r="P8" s="144">
        <v>1</v>
      </c>
      <c r="Q8" s="41">
        <f t="shared" si="0"/>
        <v>374.38840325585346</v>
      </c>
      <c r="R8" s="41">
        <f t="shared" si="1"/>
        <v>467.98550406981673</v>
      </c>
      <c r="S8" s="41">
        <f t="shared" si="2"/>
        <v>561.58260488378016</v>
      </c>
      <c r="T8" s="41">
        <f t="shared" si="3"/>
        <v>655.17970569774343</v>
      </c>
      <c r="U8" s="41">
        <f t="shared" si="4"/>
        <v>748.77680651170692</v>
      </c>
      <c r="V8" s="41">
        <f t="shared" si="5"/>
        <v>374.38840325585346</v>
      </c>
      <c r="W8" s="41">
        <f t="shared" si="6"/>
        <v>467.98550406981673</v>
      </c>
      <c r="X8" s="41">
        <f t="shared" si="7"/>
        <v>561.58260488378016</v>
      </c>
      <c r="Y8" s="41">
        <f t="shared" si="8"/>
        <v>655.17970569774343</v>
      </c>
      <c r="Z8" s="41">
        <f t="shared" si="9"/>
        <v>748.77680651170692</v>
      </c>
    </row>
    <row r="9" spans="1:26" x14ac:dyDescent="0.25">
      <c r="A9" s="2" t="s">
        <v>5</v>
      </c>
      <c r="B9" s="87"/>
      <c r="C9" s="36"/>
      <c r="D9" s="36"/>
      <c r="E9" s="36"/>
      <c r="F9" s="36"/>
      <c r="G9" s="36"/>
      <c r="H9" s="36"/>
      <c r="I9" s="36"/>
      <c r="J9" s="36"/>
      <c r="K9" s="36"/>
      <c r="L9" s="36"/>
      <c r="M9" s="141"/>
      <c r="N9" s="43"/>
      <c r="O9" s="144">
        <v>2500</v>
      </c>
      <c r="P9" s="144">
        <v>1</v>
      </c>
      <c r="Q9" s="41">
        <f t="shared" si="0"/>
        <v>0</v>
      </c>
      <c r="R9" s="41">
        <f t="shared" si="1"/>
        <v>0</v>
      </c>
      <c r="S9" s="41">
        <f t="shared" si="2"/>
        <v>0</v>
      </c>
      <c r="T9" s="41">
        <f t="shared" si="3"/>
        <v>0</v>
      </c>
      <c r="U9" s="41">
        <f t="shared" si="4"/>
        <v>0</v>
      </c>
      <c r="V9" s="41">
        <f t="shared" si="5"/>
        <v>0</v>
      </c>
      <c r="W9" s="41">
        <f t="shared" si="6"/>
        <v>0</v>
      </c>
      <c r="X9" s="41">
        <f t="shared" si="7"/>
        <v>0</v>
      </c>
      <c r="Y9" s="41">
        <f t="shared" si="8"/>
        <v>0</v>
      </c>
      <c r="Z9" s="41">
        <f t="shared" si="9"/>
        <v>0</v>
      </c>
    </row>
    <row r="10" spans="1:26" x14ac:dyDescent="0.25">
      <c r="A10" s="82" t="s">
        <v>6</v>
      </c>
      <c r="B10" s="96" t="s">
        <v>218</v>
      </c>
      <c r="C10" s="36">
        <v>2.4235603354497599E-2</v>
      </c>
      <c r="D10" s="36">
        <v>4.3252439999999996E-2</v>
      </c>
      <c r="E10" s="36">
        <v>6.0999999999999999E-2</v>
      </c>
      <c r="F10" s="36">
        <v>0.12563804000000001</v>
      </c>
      <c r="G10" s="36">
        <v>0.112</v>
      </c>
      <c r="H10" s="36">
        <v>0.23067968000000003</v>
      </c>
      <c r="I10" s="36">
        <v>0.17499999999999999</v>
      </c>
      <c r="J10" s="36">
        <v>0.36043700000000001</v>
      </c>
      <c r="K10" s="37">
        <v>0.246</v>
      </c>
      <c r="L10" s="36">
        <v>0.50667143999999997</v>
      </c>
      <c r="M10" s="139" t="s">
        <v>130</v>
      </c>
      <c r="N10" s="43"/>
      <c r="O10" s="144">
        <v>2500</v>
      </c>
      <c r="P10" s="144">
        <v>1</v>
      </c>
      <c r="Q10" s="41">
        <f t="shared" si="0"/>
        <v>108.13109999999999</v>
      </c>
      <c r="R10" s="41">
        <f t="shared" si="1"/>
        <v>314.0951</v>
      </c>
      <c r="S10" s="41">
        <f t="shared" si="2"/>
        <v>576.69920000000002</v>
      </c>
      <c r="T10" s="41">
        <f t="shared" si="3"/>
        <v>901.09249999999997</v>
      </c>
      <c r="U10" s="41">
        <f t="shared" si="4"/>
        <v>1266.6786</v>
      </c>
      <c r="V10" s="41">
        <f t="shared" si="5"/>
        <v>108.13109999999999</v>
      </c>
      <c r="W10" s="41">
        <f t="shared" si="6"/>
        <v>314.0951</v>
      </c>
      <c r="X10" s="41">
        <f t="shared" si="7"/>
        <v>576.69920000000002</v>
      </c>
      <c r="Y10" s="41">
        <f t="shared" si="8"/>
        <v>901.09249999999997</v>
      </c>
      <c r="Z10" s="41">
        <f t="shared" si="9"/>
        <v>1266.6786</v>
      </c>
    </row>
    <row r="11" spans="1:26" x14ac:dyDescent="0.25">
      <c r="A11" s="83" t="s">
        <v>6</v>
      </c>
      <c r="B11" s="85" t="s">
        <v>214</v>
      </c>
      <c r="C11" s="36">
        <v>3.1447806237851809E-2</v>
      </c>
      <c r="D11" s="36">
        <v>6.4771159639729098E-2</v>
      </c>
      <c r="E11" s="36">
        <v>3.9309757797314764E-2</v>
      </c>
      <c r="F11" s="36">
        <v>8.0963949549661379E-2</v>
      </c>
      <c r="G11" s="36">
        <v>4.7171709356777711E-2</v>
      </c>
      <c r="H11" s="36">
        <v>9.7156739459593647E-2</v>
      </c>
      <c r="I11" s="36">
        <v>5.5033660916240665E-2</v>
      </c>
      <c r="J11" s="36">
        <v>0.11334952936952593</v>
      </c>
      <c r="K11" s="36">
        <v>6.2895612475703619E-2</v>
      </c>
      <c r="L11" s="36">
        <v>0.1295423192794582</v>
      </c>
      <c r="M11" s="140" t="s">
        <v>213</v>
      </c>
      <c r="N11" s="43"/>
      <c r="O11" s="144">
        <v>2500</v>
      </c>
      <c r="P11" s="144">
        <v>1</v>
      </c>
      <c r="Q11" s="41">
        <f t="shared" si="0"/>
        <v>161.92789909932276</v>
      </c>
      <c r="R11" s="41">
        <f t="shared" si="1"/>
        <v>202.40987387415345</v>
      </c>
      <c r="S11" s="41">
        <f t="shared" si="2"/>
        <v>242.89184864898411</v>
      </c>
      <c r="T11" s="41">
        <f t="shared" si="3"/>
        <v>283.37382342381483</v>
      </c>
      <c r="U11" s="41">
        <f t="shared" si="4"/>
        <v>323.85579819864552</v>
      </c>
      <c r="V11" s="41">
        <f t="shared" si="5"/>
        <v>161.92789909932276</v>
      </c>
      <c r="W11" s="41">
        <f t="shared" si="6"/>
        <v>202.40987387415345</v>
      </c>
      <c r="X11" s="41">
        <f t="shared" si="7"/>
        <v>242.89184864898411</v>
      </c>
      <c r="Y11" s="41">
        <f t="shared" si="8"/>
        <v>283.37382342381483</v>
      </c>
      <c r="Z11" s="41">
        <f t="shared" si="9"/>
        <v>323.85579819864552</v>
      </c>
    </row>
    <row r="12" spans="1:26" x14ac:dyDescent="0.25">
      <c r="A12" s="2" t="s">
        <v>7</v>
      </c>
      <c r="B12" s="87"/>
      <c r="C12" s="36"/>
      <c r="D12" s="36"/>
      <c r="E12" s="36"/>
      <c r="F12" s="36"/>
      <c r="G12" s="36"/>
      <c r="H12" s="36"/>
      <c r="I12" s="36"/>
      <c r="J12" s="36"/>
      <c r="K12" s="36"/>
      <c r="L12" s="36"/>
      <c r="M12" s="141"/>
      <c r="N12" s="43"/>
      <c r="O12" s="144">
        <v>2500</v>
      </c>
      <c r="P12" s="144">
        <v>1</v>
      </c>
      <c r="Q12" s="41">
        <f t="shared" si="0"/>
        <v>0</v>
      </c>
      <c r="R12" s="41">
        <f t="shared" si="1"/>
        <v>0</v>
      </c>
      <c r="S12" s="41">
        <f t="shared" si="2"/>
        <v>0</v>
      </c>
      <c r="T12" s="41">
        <f t="shared" si="3"/>
        <v>0</v>
      </c>
      <c r="U12" s="41">
        <f t="shared" si="4"/>
        <v>0</v>
      </c>
      <c r="V12" s="41">
        <f t="shared" si="5"/>
        <v>0</v>
      </c>
      <c r="W12" s="41">
        <f t="shared" si="6"/>
        <v>0</v>
      </c>
      <c r="X12" s="41">
        <f t="shared" si="7"/>
        <v>0</v>
      </c>
      <c r="Y12" s="41">
        <f t="shared" si="8"/>
        <v>0</v>
      </c>
      <c r="Z12" s="41">
        <f t="shared" si="9"/>
        <v>0</v>
      </c>
    </row>
    <row r="13" spans="1:26" x14ac:dyDescent="0.25">
      <c r="A13" s="83" t="s">
        <v>8</v>
      </c>
      <c r="B13" s="85" t="s">
        <v>214</v>
      </c>
      <c r="C13" s="36">
        <v>3.0717644461124231E-2</v>
      </c>
      <c r="D13" s="36">
        <v>5.9604517312365456E-2</v>
      </c>
      <c r="E13" s="36">
        <v>3.8397055576405291E-2</v>
      </c>
      <c r="F13" s="36">
        <v>7.4505646640456821E-2</v>
      </c>
      <c r="G13" s="36">
        <v>4.6076466691686351E-2</v>
      </c>
      <c r="H13" s="36">
        <v>8.9406775968548208E-2</v>
      </c>
      <c r="I13" s="36">
        <v>5.375587780696741E-2</v>
      </c>
      <c r="J13" s="36">
        <v>0.10430790529663955</v>
      </c>
      <c r="K13" s="36">
        <v>6.1435288922248463E-2</v>
      </c>
      <c r="L13" s="36">
        <v>0.11920903462473091</v>
      </c>
      <c r="M13" s="140" t="s">
        <v>213</v>
      </c>
      <c r="N13" s="43"/>
      <c r="O13" s="144">
        <v>2500</v>
      </c>
      <c r="P13" s="144">
        <v>1</v>
      </c>
      <c r="Q13" s="41">
        <f t="shared" si="0"/>
        <v>149.01129328091363</v>
      </c>
      <c r="R13" s="41">
        <f t="shared" si="1"/>
        <v>186.26411660114206</v>
      </c>
      <c r="S13" s="41">
        <f t="shared" si="2"/>
        <v>223.51693992137052</v>
      </c>
      <c r="T13" s="41">
        <f t="shared" si="3"/>
        <v>260.76976324159887</v>
      </c>
      <c r="U13" s="41">
        <f t="shared" si="4"/>
        <v>298.02258656182727</v>
      </c>
      <c r="V13" s="41">
        <f t="shared" si="5"/>
        <v>149.01129328091363</v>
      </c>
      <c r="W13" s="41">
        <f t="shared" si="6"/>
        <v>186.26411660114206</v>
      </c>
      <c r="X13" s="41">
        <f t="shared" si="7"/>
        <v>223.51693992137052</v>
      </c>
      <c r="Y13" s="41">
        <f t="shared" si="8"/>
        <v>260.76976324159887</v>
      </c>
      <c r="Z13" s="41">
        <f t="shared" si="9"/>
        <v>298.02258656182727</v>
      </c>
    </row>
    <row r="14" spans="1:26" x14ac:dyDescent="0.25">
      <c r="A14" s="39" t="s">
        <v>2</v>
      </c>
      <c r="B14" s="96" t="s">
        <v>218</v>
      </c>
      <c r="C14" s="36">
        <v>1.0999999999999999E-2</v>
      </c>
      <c r="D14" s="36">
        <v>2.2141386666666665E-2</v>
      </c>
      <c r="E14" s="36">
        <v>0.04</v>
      </c>
      <c r="F14" s="36">
        <v>8.0514133333333335E-2</v>
      </c>
      <c r="G14" s="36">
        <v>7.3999999999999996E-2</v>
      </c>
      <c r="H14" s="36">
        <v>0.14895114666666667</v>
      </c>
      <c r="I14" s="36">
        <v>0.112</v>
      </c>
      <c r="J14" s="36">
        <v>0.22543957333333331</v>
      </c>
      <c r="K14" s="37">
        <v>0.151</v>
      </c>
      <c r="L14" s="36">
        <v>0.30394085333333332</v>
      </c>
      <c r="M14" s="139" t="s">
        <v>130</v>
      </c>
      <c r="N14" s="43"/>
      <c r="O14" s="144">
        <v>2500</v>
      </c>
      <c r="P14" s="144">
        <v>1</v>
      </c>
      <c r="Q14" s="41">
        <f t="shared" si="0"/>
        <v>55.353466666666662</v>
      </c>
      <c r="R14" s="41">
        <f t="shared" si="1"/>
        <v>201.28533333333334</v>
      </c>
      <c r="S14" s="41">
        <f t="shared" si="2"/>
        <v>372.3778666666667</v>
      </c>
      <c r="T14" s="41">
        <f t="shared" si="3"/>
        <v>563.59893333333332</v>
      </c>
      <c r="U14" s="41">
        <f t="shared" si="4"/>
        <v>759.85213333333331</v>
      </c>
      <c r="V14" s="41">
        <f t="shared" si="5"/>
        <v>55.353466666666662</v>
      </c>
      <c r="W14" s="41">
        <f t="shared" si="6"/>
        <v>201.28533333333334</v>
      </c>
      <c r="X14" s="41">
        <f t="shared" si="7"/>
        <v>372.3778666666667</v>
      </c>
      <c r="Y14" s="41">
        <f t="shared" si="8"/>
        <v>563.59893333333332</v>
      </c>
      <c r="Z14" s="41">
        <f t="shared" si="9"/>
        <v>759.85213333333331</v>
      </c>
    </row>
    <row r="15" spans="1:26" x14ac:dyDescent="0.25">
      <c r="A15" s="38" t="s">
        <v>2</v>
      </c>
      <c r="B15" s="137" t="s">
        <v>242</v>
      </c>
      <c r="C15" s="36"/>
      <c r="D15" s="36">
        <v>4.3707006369426753E-2</v>
      </c>
      <c r="E15" s="36"/>
      <c r="F15" s="36">
        <v>7.9045013883379617E-2</v>
      </c>
      <c r="G15" s="36"/>
      <c r="H15" s="36">
        <v>0.13044307692307691</v>
      </c>
      <c r="I15" s="36"/>
      <c r="J15" s="36">
        <v>0.2005983526734926</v>
      </c>
      <c r="K15" s="37"/>
      <c r="L15" s="36">
        <v>0.28954389370306183</v>
      </c>
      <c r="M15" s="28" t="s">
        <v>81</v>
      </c>
      <c r="N15" s="43"/>
      <c r="O15" s="144">
        <v>2500</v>
      </c>
      <c r="P15" s="144">
        <v>1</v>
      </c>
      <c r="Q15" s="41">
        <f t="shared" si="0"/>
        <v>109.26751592356688</v>
      </c>
      <c r="R15" s="41">
        <f t="shared" si="1"/>
        <v>197.61253470844903</v>
      </c>
      <c r="S15" s="41">
        <f t="shared" si="2"/>
        <v>326.10769230769228</v>
      </c>
      <c r="T15" s="41">
        <f t="shared" si="3"/>
        <v>501.49588168373151</v>
      </c>
      <c r="U15" s="41">
        <f t="shared" si="4"/>
        <v>723.85973425765462</v>
      </c>
      <c r="V15" s="41">
        <f t="shared" si="5"/>
        <v>109.26751592356688</v>
      </c>
      <c r="W15" s="41">
        <f t="shared" si="6"/>
        <v>197.61253470844903</v>
      </c>
      <c r="X15" s="41">
        <f t="shared" si="7"/>
        <v>326.10769230769228</v>
      </c>
      <c r="Y15" s="41">
        <f t="shared" si="8"/>
        <v>501.49588168373151</v>
      </c>
      <c r="Z15" s="41">
        <f t="shared" si="9"/>
        <v>723.85973425765462</v>
      </c>
    </row>
    <row r="16" spans="1:26" x14ac:dyDescent="0.25">
      <c r="A16" s="83" t="s">
        <v>2</v>
      </c>
      <c r="B16" s="85" t="s">
        <v>214</v>
      </c>
      <c r="C16" s="36">
        <v>3.0940271672411278E-2</v>
      </c>
      <c r="D16" s="36">
        <v>6.2278228970051946E-2</v>
      </c>
      <c r="E16" s="36">
        <v>3.8675339590514099E-2</v>
      </c>
      <c r="F16" s="36">
        <v>7.784778621256494E-2</v>
      </c>
      <c r="G16" s="36">
        <v>4.6410407508616913E-2</v>
      </c>
      <c r="H16" s="36">
        <v>9.3417343455077906E-2</v>
      </c>
      <c r="I16" s="36">
        <v>5.4145475426719734E-2</v>
      </c>
      <c r="J16" s="36">
        <v>0.1089869006975909</v>
      </c>
      <c r="K16" s="36">
        <v>6.1880543344822556E-2</v>
      </c>
      <c r="L16" s="36">
        <v>0.12455645794010389</v>
      </c>
      <c r="M16" s="140" t="s">
        <v>213</v>
      </c>
      <c r="N16" s="43"/>
      <c r="O16" s="144">
        <v>2500</v>
      </c>
      <c r="P16" s="144">
        <v>1</v>
      </c>
      <c r="Q16" s="41">
        <f t="shared" si="0"/>
        <v>155.69557242512985</v>
      </c>
      <c r="R16" s="41">
        <f t="shared" si="1"/>
        <v>194.61946553141235</v>
      </c>
      <c r="S16" s="41">
        <f t="shared" si="2"/>
        <v>233.54335863769475</v>
      </c>
      <c r="T16" s="41">
        <f t="shared" si="3"/>
        <v>272.46725174397727</v>
      </c>
      <c r="U16" s="41">
        <f t="shared" si="4"/>
        <v>311.39114485025971</v>
      </c>
      <c r="V16" s="41">
        <f t="shared" si="5"/>
        <v>155.69557242512985</v>
      </c>
      <c r="W16" s="41">
        <f t="shared" si="6"/>
        <v>194.61946553141235</v>
      </c>
      <c r="X16" s="41">
        <f t="shared" si="7"/>
        <v>233.54335863769475</v>
      </c>
      <c r="Y16" s="41">
        <f t="shared" si="8"/>
        <v>272.46725174397727</v>
      </c>
      <c r="Z16" s="41">
        <f t="shared" si="9"/>
        <v>311.39114485025971</v>
      </c>
    </row>
    <row r="17" spans="1:26" x14ac:dyDescent="0.25">
      <c r="A17" s="134" t="s">
        <v>2</v>
      </c>
      <c r="B17" s="138" t="s">
        <v>245</v>
      </c>
      <c r="C17" s="36"/>
      <c r="D17" s="36">
        <v>5.5384426799168551E-2</v>
      </c>
      <c r="E17" s="36"/>
      <c r="F17" s="36">
        <v>9.2649280417025512E-2</v>
      </c>
      <c r="G17" s="36"/>
      <c r="H17" s="36">
        <v>0.14159152880542167</v>
      </c>
      <c r="I17" s="36"/>
      <c r="J17" s="36">
        <v>0.20846959774569435</v>
      </c>
      <c r="K17" s="36"/>
      <c r="L17" s="36">
        <v>0.29232713581836017</v>
      </c>
      <c r="M17" s="142" t="s">
        <v>85</v>
      </c>
      <c r="N17" s="43"/>
      <c r="O17" s="144">
        <v>2500</v>
      </c>
      <c r="P17" s="144">
        <v>1</v>
      </c>
      <c r="Q17" s="41">
        <f t="shared" si="0"/>
        <v>138.46106699792136</v>
      </c>
      <c r="R17" s="41">
        <f t="shared" si="1"/>
        <v>231.62320104256378</v>
      </c>
      <c r="S17" s="41">
        <f t="shared" si="2"/>
        <v>353.97882201355418</v>
      </c>
      <c r="T17" s="41">
        <f t="shared" si="3"/>
        <v>521.17399436423591</v>
      </c>
      <c r="U17" s="41">
        <f t="shared" si="4"/>
        <v>730.81783954590048</v>
      </c>
      <c r="V17" s="41">
        <f t="shared" si="5"/>
        <v>138.46106699792136</v>
      </c>
      <c r="W17" s="41">
        <f t="shared" si="6"/>
        <v>231.62320104256378</v>
      </c>
      <c r="X17" s="41">
        <f t="shared" si="7"/>
        <v>353.97882201355418</v>
      </c>
      <c r="Y17" s="41">
        <f t="shared" si="8"/>
        <v>521.17399436423591</v>
      </c>
      <c r="Z17" s="41">
        <f t="shared" si="9"/>
        <v>730.81783954590048</v>
      </c>
    </row>
    <row r="18" spans="1:26" x14ac:dyDescent="0.25">
      <c r="A18" s="2" t="s">
        <v>9</v>
      </c>
      <c r="B18" s="87"/>
      <c r="C18" s="36"/>
      <c r="D18" s="36"/>
      <c r="E18" s="36"/>
      <c r="F18" s="36"/>
      <c r="G18" s="36"/>
      <c r="H18" s="36"/>
      <c r="I18" s="36"/>
      <c r="J18" s="36"/>
      <c r="K18" s="36"/>
      <c r="L18" s="36"/>
      <c r="M18" s="141"/>
      <c r="N18" s="43"/>
      <c r="O18" s="144">
        <v>2500</v>
      </c>
      <c r="P18" s="144">
        <v>1</v>
      </c>
      <c r="Q18" s="41">
        <f t="shared" si="0"/>
        <v>0</v>
      </c>
      <c r="R18" s="41">
        <f t="shared" si="1"/>
        <v>0</v>
      </c>
      <c r="S18" s="41">
        <f t="shared" si="2"/>
        <v>0</v>
      </c>
      <c r="T18" s="41">
        <f t="shared" si="3"/>
        <v>0</v>
      </c>
      <c r="U18" s="41">
        <f t="shared" si="4"/>
        <v>0</v>
      </c>
      <c r="V18" s="41">
        <f t="shared" si="5"/>
        <v>0</v>
      </c>
      <c r="W18" s="41">
        <f t="shared" si="6"/>
        <v>0</v>
      </c>
      <c r="X18" s="41">
        <f t="shared" si="7"/>
        <v>0</v>
      </c>
      <c r="Y18" s="41">
        <f t="shared" si="8"/>
        <v>0</v>
      </c>
      <c r="Z18" s="41">
        <f t="shared" si="9"/>
        <v>0</v>
      </c>
    </row>
    <row r="19" spans="1:26" x14ac:dyDescent="0.25">
      <c r="A19" s="27" t="s">
        <v>10</v>
      </c>
      <c r="B19" s="96" t="s">
        <v>218</v>
      </c>
      <c r="C19" s="36">
        <v>8.5999999999999993E-2</v>
      </c>
      <c r="D19" s="36">
        <v>0.20894774999999999</v>
      </c>
      <c r="E19" s="36">
        <v>0.1075</v>
      </c>
      <c r="F19" s="36">
        <v>0.26118468749999996</v>
      </c>
      <c r="G19" s="36">
        <v>0.129</v>
      </c>
      <c r="H19" s="36">
        <v>0.31342162499999998</v>
      </c>
      <c r="I19" s="36">
        <v>0.19950000000000001</v>
      </c>
      <c r="J19" s="36">
        <v>0.4847101875</v>
      </c>
      <c r="K19" s="36">
        <v>0.22800000000000001</v>
      </c>
      <c r="L19" s="36">
        <v>0.55395450000000002</v>
      </c>
      <c r="M19" s="139" t="s">
        <v>130</v>
      </c>
      <c r="N19" s="43" t="s">
        <v>128</v>
      </c>
      <c r="O19" s="144">
        <v>2500</v>
      </c>
      <c r="P19" s="144">
        <v>1</v>
      </c>
      <c r="Q19" s="41">
        <f t="shared" si="0"/>
        <v>522.36937499999999</v>
      </c>
      <c r="R19" s="41">
        <f t="shared" si="1"/>
        <v>652.96171874999993</v>
      </c>
      <c r="S19" s="41">
        <f t="shared" si="2"/>
        <v>783.55406249999999</v>
      </c>
      <c r="T19" s="41">
        <f t="shared" si="3"/>
        <v>1211.7754687500001</v>
      </c>
      <c r="U19" s="41">
        <f t="shared" si="4"/>
        <v>1384.88625</v>
      </c>
      <c r="V19" s="41">
        <f t="shared" si="5"/>
        <v>522.36937499999999</v>
      </c>
      <c r="W19" s="41">
        <f t="shared" si="6"/>
        <v>652.96171874999993</v>
      </c>
      <c r="X19" s="41">
        <f t="shared" si="7"/>
        <v>783.55406249999999</v>
      </c>
      <c r="Y19" s="41">
        <f t="shared" si="8"/>
        <v>1211.7754687500001</v>
      </c>
      <c r="Z19" s="41">
        <f t="shared" si="9"/>
        <v>1384.88625</v>
      </c>
    </row>
    <row r="20" spans="1:26" x14ac:dyDescent="0.25">
      <c r="A20" s="83" t="s">
        <v>10</v>
      </c>
      <c r="B20" s="85" t="s">
        <v>214</v>
      </c>
      <c r="C20" s="36">
        <v>5.1085313145785793E-2</v>
      </c>
      <c r="D20" s="36">
        <v>0.1241181539518298</v>
      </c>
      <c r="E20" s="36">
        <v>6.3856641432232242E-2</v>
      </c>
      <c r="F20" s="36">
        <v>0.15514769243978724</v>
      </c>
      <c r="G20" s="36">
        <v>7.662796971867869E-2</v>
      </c>
      <c r="H20" s="36">
        <v>0.18617723092774471</v>
      </c>
      <c r="I20" s="36">
        <v>8.9399298005125138E-2</v>
      </c>
      <c r="J20" s="36">
        <v>0.21720676941570213</v>
      </c>
      <c r="K20" s="36">
        <v>0.10217062629157159</v>
      </c>
      <c r="L20" s="36">
        <v>0.24823630790365961</v>
      </c>
      <c r="M20" s="140" t="s">
        <v>213</v>
      </c>
      <c r="N20" s="43"/>
      <c r="O20" s="144">
        <v>2500</v>
      </c>
      <c r="P20" s="144">
        <v>1</v>
      </c>
      <c r="Q20" s="41">
        <f t="shared" si="0"/>
        <v>310.2953848795745</v>
      </c>
      <c r="R20" s="41">
        <f t="shared" si="1"/>
        <v>387.8692310994681</v>
      </c>
      <c r="S20" s="41">
        <f t="shared" si="2"/>
        <v>465.44307731936181</v>
      </c>
      <c r="T20" s="41">
        <f t="shared" si="3"/>
        <v>543.01692353925534</v>
      </c>
      <c r="U20" s="41">
        <f t="shared" si="4"/>
        <v>620.590769759149</v>
      </c>
      <c r="V20" s="41">
        <f t="shared" si="5"/>
        <v>310.2953848795745</v>
      </c>
      <c r="W20" s="41">
        <f t="shared" si="6"/>
        <v>387.8692310994681</v>
      </c>
      <c r="X20" s="41">
        <f t="shared" si="7"/>
        <v>465.44307731936181</v>
      </c>
      <c r="Y20" s="41">
        <f t="shared" si="8"/>
        <v>543.01692353925534</v>
      </c>
      <c r="Z20" s="41">
        <f t="shared" si="9"/>
        <v>620.590769759149</v>
      </c>
    </row>
    <row r="21" spans="1:26" x14ac:dyDescent="0.25">
      <c r="A21" s="92" t="s">
        <v>172</v>
      </c>
      <c r="B21" s="85" t="s">
        <v>214</v>
      </c>
      <c r="C21" s="36">
        <v>1.4595690686994803E-2</v>
      </c>
      <c r="D21" s="36">
        <v>6.1960458449175387E-2</v>
      </c>
      <c r="E21" s="36">
        <v>1.8244613358743503E-2</v>
      </c>
      <c r="F21" s="36">
        <v>7.7450573061469213E-2</v>
      </c>
      <c r="G21" s="36">
        <v>2.1893536030492204E-2</v>
      </c>
      <c r="H21" s="36">
        <v>9.2940687673763067E-2</v>
      </c>
      <c r="I21" s="36">
        <v>2.5542458702240905E-2</v>
      </c>
      <c r="J21" s="36">
        <v>0.10843080228605692</v>
      </c>
      <c r="K21" s="36">
        <v>2.9191381373989606E-2</v>
      </c>
      <c r="L21" s="36">
        <v>0.12392091689835077</v>
      </c>
      <c r="M21" s="140" t="s">
        <v>213</v>
      </c>
      <c r="N21" s="43"/>
      <c r="O21" s="144">
        <v>2500</v>
      </c>
      <c r="P21" s="144">
        <v>1</v>
      </c>
      <c r="Q21" s="41">
        <f t="shared" si="0"/>
        <v>154.90114612293846</v>
      </c>
      <c r="R21" s="41">
        <f t="shared" si="1"/>
        <v>193.62643265367302</v>
      </c>
      <c r="S21" s="41">
        <f t="shared" si="2"/>
        <v>232.35171918440767</v>
      </c>
      <c r="T21" s="41">
        <f t="shared" si="3"/>
        <v>271.07700571514232</v>
      </c>
      <c r="U21" s="41">
        <f t="shared" si="4"/>
        <v>309.80229224587691</v>
      </c>
      <c r="V21" s="41">
        <f t="shared" si="5"/>
        <v>154.90114612293846</v>
      </c>
      <c r="W21" s="41">
        <f t="shared" si="6"/>
        <v>193.62643265367302</v>
      </c>
      <c r="X21" s="41">
        <f t="shared" si="7"/>
        <v>232.35171918440767</v>
      </c>
      <c r="Y21" s="41">
        <f t="shared" si="8"/>
        <v>271.07700571514232</v>
      </c>
      <c r="Z21" s="41">
        <f t="shared" si="9"/>
        <v>309.80229224587691</v>
      </c>
    </row>
    <row r="22" spans="1:26" x14ac:dyDescent="0.25">
      <c r="A22" s="2" t="s">
        <v>11</v>
      </c>
      <c r="B22" s="87"/>
      <c r="C22" s="36"/>
      <c r="D22" s="36"/>
      <c r="E22" s="36"/>
      <c r="F22" s="36"/>
      <c r="G22" s="36"/>
      <c r="H22" s="36"/>
      <c r="I22" s="36"/>
      <c r="J22" s="36"/>
      <c r="K22" s="36"/>
      <c r="L22" s="36"/>
      <c r="M22" s="141"/>
      <c r="N22" s="43"/>
      <c r="O22" s="144">
        <v>2500</v>
      </c>
      <c r="P22" s="144">
        <v>1</v>
      </c>
      <c r="Q22" s="41">
        <f t="shared" si="0"/>
        <v>0</v>
      </c>
      <c r="R22" s="41">
        <f t="shared" si="1"/>
        <v>0</v>
      </c>
      <c r="S22" s="41">
        <f t="shared" si="2"/>
        <v>0</v>
      </c>
      <c r="T22" s="41">
        <f t="shared" si="3"/>
        <v>0</v>
      </c>
      <c r="U22" s="41">
        <f t="shared" si="4"/>
        <v>0</v>
      </c>
      <c r="V22" s="41">
        <f t="shared" si="5"/>
        <v>0</v>
      </c>
      <c r="W22" s="41">
        <f t="shared" si="6"/>
        <v>0</v>
      </c>
      <c r="X22" s="41">
        <f t="shared" si="7"/>
        <v>0</v>
      </c>
      <c r="Y22" s="41">
        <f t="shared" si="8"/>
        <v>0</v>
      </c>
      <c r="Z22" s="41">
        <f t="shared" si="9"/>
        <v>0</v>
      </c>
    </row>
    <row r="23" spans="1:26" x14ac:dyDescent="0.25">
      <c r="A23" s="2" t="s">
        <v>12</v>
      </c>
      <c r="B23" s="87"/>
      <c r="C23" s="36"/>
      <c r="D23" s="36"/>
      <c r="E23" s="36"/>
      <c r="F23" s="36"/>
      <c r="G23" s="36"/>
      <c r="H23" s="36"/>
      <c r="I23" s="36"/>
      <c r="J23" s="36"/>
      <c r="K23" s="36"/>
      <c r="L23" s="36"/>
      <c r="M23" s="141"/>
      <c r="N23" s="43"/>
      <c r="O23" s="144">
        <v>2500</v>
      </c>
      <c r="P23" s="144">
        <v>1</v>
      </c>
      <c r="Q23" s="41">
        <f t="shared" si="0"/>
        <v>0</v>
      </c>
      <c r="R23" s="41">
        <f t="shared" si="1"/>
        <v>0</v>
      </c>
      <c r="S23" s="41">
        <f t="shared" si="2"/>
        <v>0</v>
      </c>
      <c r="T23" s="41">
        <f t="shared" si="3"/>
        <v>0</v>
      </c>
      <c r="U23" s="41">
        <f t="shared" si="4"/>
        <v>0</v>
      </c>
      <c r="V23" s="41">
        <f t="shared" si="5"/>
        <v>0</v>
      </c>
      <c r="W23" s="41">
        <f t="shared" si="6"/>
        <v>0</v>
      </c>
      <c r="X23" s="41">
        <f t="shared" si="7"/>
        <v>0</v>
      </c>
      <c r="Y23" s="41">
        <f t="shared" si="8"/>
        <v>0</v>
      </c>
      <c r="Z23" s="41">
        <f t="shared" si="9"/>
        <v>0</v>
      </c>
    </row>
    <row r="24" spans="1:26" x14ac:dyDescent="0.25">
      <c r="A24" s="92" t="s">
        <v>13</v>
      </c>
      <c r="B24" s="85" t="s">
        <v>214</v>
      </c>
      <c r="C24" s="36">
        <v>7.0330285525162482E-3</v>
      </c>
      <c r="D24" s="36">
        <v>7.2902029632532592E-3</v>
      </c>
      <c r="E24" s="36">
        <v>8.7912856906453094E-3</v>
      </c>
      <c r="F24" s="36">
        <v>9.1127537040665719E-3</v>
      </c>
      <c r="G24" s="36">
        <v>1.0549542828774372E-2</v>
      </c>
      <c r="H24" s="36">
        <v>1.0935304444879886E-2</v>
      </c>
      <c r="I24" s="36">
        <v>1.2307799966903434E-2</v>
      </c>
      <c r="J24" s="36">
        <v>1.2757855185693201E-2</v>
      </c>
      <c r="K24" s="36">
        <v>1.4066057105032496E-2</v>
      </c>
      <c r="L24" s="36">
        <v>1.4580405926506518E-2</v>
      </c>
      <c r="M24" s="140" t="s">
        <v>213</v>
      </c>
      <c r="N24" s="43"/>
      <c r="O24" s="144">
        <v>2500</v>
      </c>
      <c r="P24" s="144">
        <v>1</v>
      </c>
      <c r="Q24" s="41">
        <f t="shared" si="0"/>
        <v>18.225507408133147</v>
      </c>
      <c r="R24" s="41">
        <f t="shared" si="1"/>
        <v>22.781884260166429</v>
      </c>
      <c r="S24" s="41">
        <f t="shared" si="2"/>
        <v>27.338261112199717</v>
      </c>
      <c r="T24" s="41">
        <f t="shared" si="3"/>
        <v>31.894637964233002</v>
      </c>
      <c r="U24" s="41">
        <f t="shared" si="4"/>
        <v>36.451014816266294</v>
      </c>
      <c r="V24" s="41">
        <f t="shared" si="5"/>
        <v>18.225507408133147</v>
      </c>
      <c r="W24" s="41">
        <f t="shared" si="6"/>
        <v>22.781884260166429</v>
      </c>
      <c r="X24" s="41">
        <f t="shared" si="7"/>
        <v>27.338261112199717</v>
      </c>
      <c r="Y24" s="41">
        <f t="shared" si="8"/>
        <v>31.894637964233002</v>
      </c>
      <c r="Z24" s="41">
        <f t="shared" si="9"/>
        <v>36.451014816266294</v>
      </c>
    </row>
    <row r="25" spans="1:26" x14ac:dyDescent="0.25">
      <c r="A25" s="2" t="s">
        <v>14</v>
      </c>
      <c r="B25" s="87"/>
      <c r="C25" s="36"/>
      <c r="D25" s="36"/>
      <c r="E25" s="36"/>
      <c r="F25" s="36"/>
      <c r="G25" s="36"/>
      <c r="H25" s="36"/>
      <c r="I25" s="36"/>
      <c r="J25" s="36"/>
      <c r="K25" s="36"/>
      <c r="L25" s="36"/>
      <c r="M25" s="141"/>
      <c r="N25" s="43"/>
      <c r="O25" s="144">
        <v>2500</v>
      </c>
      <c r="P25" s="144">
        <v>1</v>
      </c>
      <c r="Q25" s="41">
        <f t="shared" si="0"/>
        <v>0</v>
      </c>
      <c r="R25" s="41">
        <f t="shared" si="1"/>
        <v>0</v>
      </c>
      <c r="S25" s="41">
        <f t="shared" si="2"/>
        <v>0</v>
      </c>
      <c r="T25" s="41">
        <f t="shared" si="3"/>
        <v>0</v>
      </c>
      <c r="U25" s="41">
        <f t="shared" si="4"/>
        <v>0</v>
      </c>
      <c r="V25" s="41">
        <f t="shared" si="5"/>
        <v>0</v>
      </c>
      <c r="W25" s="41">
        <f t="shared" si="6"/>
        <v>0</v>
      </c>
      <c r="X25" s="41">
        <f t="shared" si="7"/>
        <v>0</v>
      </c>
      <c r="Y25" s="41">
        <f t="shared" si="8"/>
        <v>0</v>
      </c>
      <c r="Z25" s="41">
        <f t="shared" si="9"/>
        <v>0</v>
      </c>
    </row>
    <row r="26" spans="1:26" x14ac:dyDescent="0.25">
      <c r="A26" s="92" t="s">
        <v>15</v>
      </c>
      <c r="B26" s="85" t="s">
        <v>214</v>
      </c>
      <c r="C26" s="36">
        <v>3.5519916783877857E-2</v>
      </c>
      <c r="D26" s="36">
        <v>7.8352200436330038E-2</v>
      </c>
      <c r="E26" s="36">
        <v>4.4399895979847323E-2</v>
      </c>
      <c r="F26" s="36">
        <v>9.7940250545412541E-2</v>
      </c>
      <c r="G26" s="36">
        <v>5.3279875175816782E-2</v>
      </c>
      <c r="H26" s="36">
        <v>0.11752830065449504</v>
      </c>
      <c r="I26" s="36">
        <v>6.2159854371786248E-2</v>
      </c>
      <c r="J26" s="36">
        <v>0.13711635076357756</v>
      </c>
      <c r="K26" s="36">
        <v>7.1039833567755714E-2</v>
      </c>
      <c r="L26" s="36">
        <v>0.15670440087266008</v>
      </c>
      <c r="M26" s="140" t="s">
        <v>213</v>
      </c>
      <c r="N26" s="43"/>
      <c r="O26" s="144">
        <v>2500</v>
      </c>
      <c r="P26" s="144">
        <v>1</v>
      </c>
      <c r="Q26" s="41">
        <f t="shared" si="0"/>
        <v>195.88050109082511</v>
      </c>
      <c r="R26" s="41">
        <f t="shared" si="1"/>
        <v>244.85062636353135</v>
      </c>
      <c r="S26" s="41">
        <f t="shared" si="2"/>
        <v>293.82075163623762</v>
      </c>
      <c r="T26" s="41">
        <f t="shared" si="3"/>
        <v>342.79087690894391</v>
      </c>
      <c r="U26" s="41">
        <f t="shared" si="4"/>
        <v>391.76100218165021</v>
      </c>
      <c r="V26" s="41">
        <f t="shared" si="5"/>
        <v>195.88050109082511</v>
      </c>
      <c r="W26" s="41">
        <f t="shared" si="6"/>
        <v>244.85062636353135</v>
      </c>
      <c r="X26" s="41">
        <f t="shared" si="7"/>
        <v>293.82075163623762</v>
      </c>
      <c r="Y26" s="41">
        <f t="shared" si="8"/>
        <v>342.79087690894391</v>
      </c>
      <c r="Z26" s="41">
        <f t="shared" si="9"/>
        <v>391.76100218165021</v>
      </c>
    </row>
    <row r="27" spans="1:26" x14ac:dyDescent="0.25">
      <c r="A27" s="92" t="s">
        <v>17</v>
      </c>
      <c r="B27" s="85" t="s">
        <v>214</v>
      </c>
      <c r="C27" s="36">
        <v>0.13780596631208833</v>
      </c>
      <c r="D27" s="36">
        <v>0.26739869703197616</v>
      </c>
      <c r="E27" s="36">
        <v>0.23625044309191207</v>
      </c>
      <c r="F27" s="36">
        <v>0.45842035977554618</v>
      </c>
      <c r="G27" s="36">
        <v>0.31672869557299338</v>
      </c>
      <c r="H27" s="36">
        <v>0.61458036088983636</v>
      </c>
      <c r="I27" s="36">
        <v>0.46409651535326579</v>
      </c>
      <c r="J27" s="36">
        <v>0.900532878391477</v>
      </c>
      <c r="K27" s="36">
        <v>0.54009296361673664</v>
      </c>
      <c r="L27" s="36">
        <v>1.0479963866019157</v>
      </c>
      <c r="M27" s="140" t="s">
        <v>213</v>
      </c>
      <c r="N27" s="43"/>
      <c r="O27" s="144">
        <v>2500</v>
      </c>
      <c r="P27" s="144">
        <v>1</v>
      </c>
      <c r="Q27" s="41">
        <f t="shared" si="0"/>
        <v>668.49674257994036</v>
      </c>
      <c r="R27" s="41">
        <f t="shared" si="1"/>
        <v>1146.0508994388654</v>
      </c>
      <c r="S27" s="41">
        <f t="shared" si="2"/>
        <v>1536.4509022245909</v>
      </c>
      <c r="T27" s="41">
        <f t="shared" si="3"/>
        <v>2251.3321959786927</v>
      </c>
      <c r="U27" s="41">
        <f t="shared" si="4"/>
        <v>2619.9909665047894</v>
      </c>
      <c r="V27" s="41">
        <f t="shared" si="5"/>
        <v>668.49674257994036</v>
      </c>
      <c r="W27" s="41">
        <f t="shared" si="6"/>
        <v>1146.0508994388654</v>
      </c>
      <c r="X27" s="41">
        <f t="shared" si="7"/>
        <v>1536.4509022245909</v>
      </c>
      <c r="Y27" s="41">
        <f t="shared" si="8"/>
        <v>2251.3321959786927</v>
      </c>
      <c r="Z27" s="41">
        <f t="shared" si="9"/>
        <v>2619.9909665047894</v>
      </c>
    </row>
    <row r="28" spans="1:26" x14ac:dyDescent="0.25">
      <c r="A28" s="2" t="s">
        <v>18</v>
      </c>
      <c r="B28" s="87"/>
      <c r="C28" s="36"/>
      <c r="D28" s="36"/>
      <c r="E28" s="36"/>
      <c r="F28" s="36"/>
      <c r="G28" s="36"/>
      <c r="H28" s="36"/>
      <c r="I28" s="36"/>
      <c r="J28" s="36"/>
      <c r="K28" s="36"/>
      <c r="L28" s="36"/>
      <c r="M28" s="141"/>
      <c r="N28" s="43"/>
      <c r="O28" s="144">
        <v>2500</v>
      </c>
      <c r="P28" s="144">
        <v>1</v>
      </c>
      <c r="Q28" s="41">
        <f t="shared" si="0"/>
        <v>0</v>
      </c>
      <c r="R28" s="41">
        <f t="shared" si="1"/>
        <v>0</v>
      </c>
      <c r="S28" s="41">
        <f t="shared" si="2"/>
        <v>0</v>
      </c>
      <c r="T28" s="41">
        <f t="shared" si="3"/>
        <v>0</v>
      </c>
      <c r="U28" s="41">
        <f t="shared" si="4"/>
        <v>0</v>
      </c>
      <c r="V28" s="41">
        <f t="shared" si="5"/>
        <v>0</v>
      </c>
      <c r="W28" s="41">
        <f t="shared" si="6"/>
        <v>0</v>
      </c>
      <c r="X28" s="41">
        <f t="shared" si="7"/>
        <v>0</v>
      </c>
      <c r="Y28" s="41">
        <f t="shared" si="8"/>
        <v>0</v>
      </c>
      <c r="Z28" s="41">
        <f t="shared" si="9"/>
        <v>0</v>
      </c>
    </row>
    <row r="29" spans="1:26" x14ac:dyDescent="0.25">
      <c r="A29" s="2" t="s">
        <v>19</v>
      </c>
      <c r="B29" s="87"/>
      <c r="C29" s="36"/>
      <c r="D29" s="36"/>
      <c r="E29" s="36"/>
      <c r="F29" s="36"/>
      <c r="G29" s="36"/>
      <c r="H29" s="36"/>
      <c r="I29" s="36"/>
      <c r="J29" s="36"/>
      <c r="K29" s="36"/>
      <c r="L29" s="36"/>
      <c r="M29" s="141"/>
      <c r="N29" s="43"/>
      <c r="O29" s="144">
        <v>2500</v>
      </c>
      <c r="P29" s="144">
        <v>1</v>
      </c>
      <c r="Q29" s="41">
        <f t="shared" si="0"/>
        <v>0</v>
      </c>
      <c r="R29" s="41">
        <f t="shared" si="1"/>
        <v>0</v>
      </c>
      <c r="S29" s="41">
        <f t="shared" si="2"/>
        <v>0</v>
      </c>
      <c r="T29" s="41">
        <f t="shared" si="3"/>
        <v>0</v>
      </c>
      <c r="U29" s="41">
        <f t="shared" si="4"/>
        <v>0</v>
      </c>
      <c r="V29" s="41">
        <f t="shared" si="5"/>
        <v>0</v>
      </c>
      <c r="W29" s="41">
        <f t="shared" si="6"/>
        <v>0</v>
      </c>
      <c r="X29" s="41">
        <f t="shared" si="7"/>
        <v>0</v>
      </c>
      <c r="Y29" s="41">
        <f t="shared" si="8"/>
        <v>0</v>
      </c>
      <c r="Z29" s="41">
        <f t="shared" si="9"/>
        <v>0</v>
      </c>
    </row>
    <row r="30" spans="1:26" x14ac:dyDescent="0.25">
      <c r="A30" s="2" t="s">
        <v>20</v>
      </c>
      <c r="B30" s="87"/>
      <c r="C30" s="36"/>
      <c r="D30" s="36"/>
      <c r="E30" s="36"/>
      <c r="F30" s="36"/>
      <c r="G30" s="36"/>
      <c r="H30" s="36"/>
      <c r="I30" s="36"/>
      <c r="J30" s="36"/>
      <c r="K30" s="36"/>
      <c r="L30" s="36"/>
      <c r="M30" s="141"/>
      <c r="N30" s="43"/>
      <c r="O30" s="144">
        <v>2500</v>
      </c>
      <c r="P30" s="144">
        <v>1</v>
      </c>
      <c r="Q30" s="41">
        <f t="shared" si="0"/>
        <v>0</v>
      </c>
      <c r="R30" s="41">
        <f t="shared" si="1"/>
        <v>0</v>
      </c>
      <c r="S30" s="41">
        <f t="shared" si="2"/>
        <v>0</v>
      </c>
      <c r="T30" s="41">
        <f t="shared" si="3"/>
        <v>0</v>
      </c>
      <c r="U30" s="41">
        <f t="shared" si="4"/>
        <v>0</v>
      </c>
      <c r="V30" s="41">
        <f t="shared" si="5"/>
        <v>0</v>
      </c>
      <c r="W30" s="41">
        <f t="shared" si="6"/>
        <v>0</v>
      </c>
      <c r="X30" s="41">
        <f t="shared" si="7"/>
        <v>0</v>
      </c>
      <c r="Y30" s="41">
        <f t="shared" si="8"/>
        <v>0</v>
      </c>
      <c r="Z30" s="41">
        <f t="shared" si="9"/>
        <v>0</v>
      </c>
    </row>
    <row r="31" spans="1:26" x14ac:dyDescent="0.25">
      <c r="A31" s="92" t="s">
        <v>21</v>
      </c>
      <c r="B31" s="85" t="s">
        <v>214</v>
      </c>
      <c r="C31" s="36">
        <v>2.1782229937322616E-2</v>
      </c>
      <c r="D31" s="36">
        <v>4.2905184381875593E-2</v>
      </c>
      <c r="E31" s="36">
        <v>5.6877202471395945E-2</v>
      </c>
      <c r="F31" s="36">
        <v>0.11203292161465764</v>
      </c>
      <c r="G31" s="36">
        <v>0.10415920175927618</v>
      </c>
      <c r="H31" s="36">
        <v>0.20516585167863827</v>
      </c>
      <c r="I31" s="36">
        <v>0.17662290093811014</v>
      </c>
      <c r="J31" s="36">
        <v>0.34790001540782683</v>
      </c>
      <c r="K31" s="36">
        <v>0.20185474392926872</v>
      </c>
      <c r="L31" s="36">
        <v>0.39760001760894487</v>
      </c>
      <c r="M31" s="140" t="s">
        <v>213</v>
      </c>
      <c r="N31" s="43"/>
      <c r="O31" s="144">
        <v>2500</v>
      </c>
      <c r="P31" s="144">
        <v>1</v>
      </c>
      <c r="Q31" s="41">
        <f t="shared" si="0"/>
        <v>107.26296095468898</v>
      </c>
      <c r="R31" s="41">
        <f t="shared" si="1"/>
        <v>280.08230403664408</v>
      </c>
      <c r="S31" s="41">
        <f t="shared" si="2"/>
        <v>512.91462919659568</v>
      </c>
      <c r="T31" s="41">
        <f t="shared" si="3"/>
        <v>869.75003851956706</v>
      </c>
      <c r="U31" s="41">
        <f t="shared" si="4"/>
        <v>994.0000440223622</v>
      </c>
      <c r="V31" s="41">
        <f t="shared" si="5"/>
        <v>107.26296095468898</v>
      </c>
      <c r="W31" s="41">
        <f t="shared" si="6"/>
        <v>280.08230403664408</v>
      </c>
      <c r="X31" s="41">
        <f t="shared" si="7"/>
        <v>512.91462919659568</v>
      </c>
      <c r="Y31" s="41">
        <f t="shared" si="8"/>
        <v>869.75003851956706</v>
      </c>
      <c r="Z31" s="41">
        <f t="shared" si="9"/>
        <v>994.0000440223622</v>
      </c>
    </row>
    <row r="32" spans="1:26" x14ac:dyDescent="0.25">
      <c r="A32" s="39" t="s">
        <v>22</v>
      </c>
      <c r="B32" s="96" t="s">
        <v>218</v>
      </c>
      <c r="C32" s="36">
        <v>0.125</v>
      </c>
      <c r="D32" s="36">
        <v>0.32874187500000002</v>
      </c>
      <c r="E32" s="36">
        <v>0.23599999999999999</v>
      </c>
      <c r="F32" s="36">
        <v>0.62066466000000009</v>
      </c>
      <c r="G32" s="36">
        <v>0.379</v>
      </c>
      <c r="H32" s="36">
        <v>0.99674536500000011</v>
      </c>
      <c r="I32" s="36">
        <v>0.55600000000000005</v>
      </c>
      <c r="J32" s="36">
        <v>1.4622438600000003</v>
      </c>
      <c r="K32" s="37">
        <v>0.79100000000000004</v>
      </c>
      <c r="L32" s="36">
        <v>2.0802785849999998</v>
      </c>
      <c r="M32" s="139" t="s">
        <v>130</v>
      </c>
      <c r="N32" s="43" t="s">
        <v>147</v>
      </c>
      <c r="O32" s="144">
        <v>2500</v>
      </c>
      <c r="P32" s="144">
        <v>1</v>
      </c>
      <c r="Q32" s="41">
        <f t="shared" si="0"/>
        <v>821.85468750000007</v>
      </c>
      <c r="R32" s="41">
        <f t="shared" si="1"/>
        <v>1551.6616500000002</v>
      </c>
      <c r="S32" s="41">
        <f t="shared" si="2"/>
        <v>2491.8634125000003</v>
      </c>
      <c r="T32" s="41">
        <f t="shared" si="3"/>
        <v>3655.6096500000008</v>
      </c>
      <c r="U32" s="41">
        <f t="shared" si="4"/>
        <v>5200.6964625000001</v>
      </c>
      <c r="V32" s="41">
        <f t="shared" si="5"/>
        <v>821.85468750000007</v>
      </c>
      <c r="W32" s="41">
        <f t="shared" si="6"/>
        <v>1551.6616500000002</v>
      </c>
      <c r="X32" s="41">
        <f t="shared" si="7"/>
        <v>2491.8634125000003</v>
      </c>
      <c r="Y32" s="41">
        <f t="shared" si="8"/>
        <v>3655.6096500000008</v>
      </c>
      <c r="Z32" s="41">
        <f t="shared" si="9"/>
        <v>5200.6964625000001</v>
      </c>
    </row>
    <row r="33" spans="1:26" x14ac:dyDescent="0.25">
      <c r="A33" s="93" t="s">
        <v>22</v>
      </c>
      <c r="B33" s="85" t="s">
        <v>214</v>
      </c>
      <c r="C33" s="36">
        <v>0.15392749325002175</v>
      </c>
      <c r="D33" s="36">
        <v>0.40481930196049593</v>
      </c>
      <c r="E33" s="36">
        <v>0.37893651576316562</v>
      </c>
      <c r="F33" s="36">
        <v>0.99657840558360089</v>
      </c>
      <c r="G33" s="36">
        <v>0.59538658646021636</v>
      </c>
      <c r="H33" s="36">
        <v>1.5658280222622489</v>
      </c>
      <c r="I33" s="36">
        <v>0.84971838900000141</v>
      </c>
      <c r="J33" s="36">
        <v>2.2347041313747185</v>
      </c>
      <c r="K33" s="36">
        <v>1.3428742516056231</v>
      </c>
      <c r="L33" s="36">
        <v>3.5316719948964348</v>
      </c>
      <c r="M33" s="140" t="s">
        <v>213</v>
      </c>
      <c r="N33" s="43"/>
      <c r="O33" s="144">
        <v>2500</v>
      </c>
      <c r="P33" s="144">
        <v>1</v>
      </c>
      <c r="Q33" s="41">
        <f t="shared" si="0"/>
        <v>1012.0482549012398</v>
      </c>
      <c r="R33" s="41">
        <f t="shared" si="1"/>
        <v>2491.4460139590024</v>
      </c>
      <c r="S33" s="41">
        <f t="shared" si="2"/>
        <v>3914.5700556556221</v>
      </c>
      <c r="T33" s="41">
        <f t="shared" si="3"/>
        <v>5586.760328436796</v>
      </c>
      <c r="U33" s="41">
        <f t="shared" si="4"/>
        <v>8829.1799872410866</v>
      </c>
      <c r="V33" s="41">
        <f t="shared" si="5"/>
        <v>1012.0482549012398</v>
      </c>
      <c r="W33" s="41">
        <f t="shared" si="6"/>
        <v>2491.4460139590024</v>
      </c>
      <c r="X33" s="41">
        <f t="shared" si="7"/>
        <v>3914.5700556556221</v>
      </c>
      <c r="Y33" s="41">
        <f t="shared" si="8"/>
        <v>5586.760328436796</v>
      </c>
      <c r="Z33" s="41">
        <f t="shared" si="9"/>
        <v>8829.1799872410866</v>
      </c>
    </row>
    <row r="34" spans="1:26" x14ac:dyDescent="0.25">
      <c r="A34" s="39" t="s">
        <v>23</v>
      </c>
      <c r="B34" s="96" t="s">
        <v>218</v>
      </c>
      <c r="C34" s="36">
        <v>0.20599999999999999</v>
      </c>
      <c r="D34" s="36">
        <v>0.54176661000000004</v>
      </c>
      <c r="E34" s="36">
        <v>0.41299999999999998</v>
      </c>
      <c r="F34" s="36">
        <v>1.0861631549999999</v>
      </c>
      <c r="G34" s="36">
        <v>0.69499999999999995</v>
      </c>
      <c r="H34" s="36">
        <v>1.8278048250000001</v>
      </c>
      <c r="I34" s="36">
        <v>1.06</v>
      </c>
      <c r="J34" s="36">
        <v>2.7877310999999998</v>
      </c>
      <c r="K34" s="37">
        <v>1.516</v>
      </c>
      <c r="L34" s="36">
        <v>3.9869814600000004</v>
      </c>
      <c r="M34" s="139" t="s">
        <v>130</v>
      </c>
      <c r="N34" s="43"/>
      <c r="O34" s="144">
        <v>2500</v>
      </c>
      <c r="P34" s="144">
        <v>1</v>
      </c>
      <c r="Q34" s="41">
        <f t="shared" si="0"/>
        <v>1354.4165250000001</v>
      </c>
      <c r="R34" s="41">
        <f t="shared" si="1"/>
        <v>2715.4078875</v>
      </c>
      <c r="S34" s="41">
        <f t="shared" si="2"/>
        <v>4569.5120625</v>
      </c>
      <c r="T34" s="41">
        <f t="shared" si="3"/>
        <v>6969.3277499999995</v>
      </c>
      <c r="U34" s="41">
        <f t="shared" si="4"/>
        <v>9967.4536500000013</v>
      </c>
      <c r="V34" s="41">
        <f t="shared" si="5"/>
        <v>1354.4165250000001</v>
      </c>
      <c r="W34" s="41">
        <f t="shared" si="6"/>
        <v>2715.4078875</v>
      </c>
      <c r="X34" s="41">
        <f t="shared" si="7"/>
        <v>4569.5120625</v>
      </c>
      <c r="Y34" s="41">
        <f t="shared" si="8"/>
        <v>6969.3277499999995</v>
      </c>
      <c r="Z34" s="41">
        <f t="shared" si="9"/>
        <v>9967.4536500000013</v>
      </c>
    </row>
    <row r="35" spans="1:26" x14ac:dyDescent="0.25">
      <c r="A35" s="93" t="s">
        <v>23</v>
      </c>
      <c r="B35" s="85" t="s">
        <v>214</v>
      </c>
      <c r="C35" s="36">
        <v>0.21657651092854194</v>
      </c>
      <c r="D35" s="36">
        <v>0.56958214626885495</v>
      </c>
      <c r="E35" s="36">
        <v>0.52885328240384577</v>
      </c>
      <c r="F35" s="36">
        <v>1.3908497572587581</v>
      </c>
      <c r="G35" s="36">
        <v>0.77421299017539003</v>
      </c>
      <c r="H35" s="36">
        <v>2.0361298403169146</v>
      </c>
      <c r="I35" s="36">
        <v>1.139698442797263</v>
      </c>
      <c r="J35" s="36">
        <v>2.9973328241580197</v>
      </c>
      <c r="K35" s="36">
        <v>1.8531260035092387</v>
      </c>
      <c r="L35" s="36">
        <v>4.8736009360390691</v>
      </c>
      <c r="M35" s="140" t="s">
        <v>213</v>
      </c>
      <c r="N35" s="43"/>
      <c r="O35" s="144">
        <v>2500</v>
      </c>
      <c r="P35" s="144">
        <v>1</v>
      </c>
      <c r="Q35" s="41">
        <f t="shared" si="0"/>
        <v>1423.9553656721373</v>
      </c>
      <c r="R35" s="41">
        <f t="shared" si="1"/>
        <v>3477.1243931468953</v>
      </c>
      <c r="S35" s="41">
        <f t="shared" si="2"/>
        <v>5090.3246007922862</v>
      </c>
      <c r="T35" s="41">
        <f t="shared" si="3"/>
        <v>7493.3320603950497</v>
      </c>
      <c r="U35" s="41">
        <f t="shared" si="4"/>
        <v>12184.002340097673</v>
      </c>
      <c r="V35" s="41">
        <f t="shared" si="5"/>
        <v>1423.9553656721373</v>
      </c>
      <c r="W35" s="41">
        <f t="shared" si="6"/>
        <v>3477.1243931468953</v>
      </c>
      <c r="X35" s="41">
        <f t="shared" si="7"/>
        <v>5090.3246007922862</v>
      </c>
      <c r="Y35" s="41">
        <f t="shared" si="8"/>
        <v>7493.3320603950497</v>
      </c>
      <c r="Z35" s="41">
        <f t="shared" si="9"/>
        <v>12184.002340097673</v>
      </c>
    </row>
    <row r="36" spans="1:26" x14ac:dyDescent="0.25">
      <c r="A36" s="38" t="s">
        <v>24</v>
      </c>
      <c r="B36" s="88" t="s">
        <v>95</v>
      </c>
      <c r="C36" s="36">
        <v>8.8111193844626467E-3</v>
      </c>
      <c r="D36" s="36">
        <f>'Total especies y métodos'!D34</f>
        <v>3.769774343225004E-3</v>
      </c>
      <c r="E36" s="36">
        <f>'Total especies y métodos'!E34</f>
        <v>4.2000000000000003E-2</v>
      </c>
      <c r="F36" s="36">
        <f>'Total especies y métodos'!F34</f>
        <v>2.2674170139378728E-2</v>
      </c>
      <c r="G36" s="36">
        <f>'Total especies y métodos'!G34</f>
        <v>4.8687782805429861E-2</v>
      </c>
      <c r="H36" s="36">
        <f>'Total especies y métodos'!H34</f>
        <v>2.720900416725448E-2</v>
      </c>
      <c r="I36" s="36">
        <f>'Total especies y métodos'!I34</f>
        <v>0.15</v>
      </c>
      <c r="J36" s="36">
        <f>'Total especies y métodos'!J34</f>
        <v>6.9703150798753E-2</v>
      </c>
      <c r="K36" s="36">
        <f>'Total especies y métodos'!K34</f>
        <v>0.13102971665514859</v>
      </c>
      <c r="L36" s="36">
        <f>'Total especies y métodos'!L34</f>
        <v>0.22629552729785765</v>
      </c>
      <c r="M36" s="28" t="s">
        <v>81</v>
      </c>
      <c r="N36" s="43" t="s">
        <v>124</v>
      </c>
      <c r="O36" s="144">
        <v>2500</v>
      </c>
      <c r="P36" s="144">
        <v>1</v>
      </c>
      <c r="Q36" s="41">
        <f t="shared" si="0"/>
        <v>9.4244358580625107</v>
      </c>
      <c r="R36" s="41">
        <f t="shared" si="1"/>
        <v>56.68542534844682</v>
      </c>
      <c r="S36" s="41">
        <f t="shared" si="2"/>
        <v>68.022510418136193</v>
      </c>
      <c r="T36" s="41">
        <f t="shared" si="3"/>
        <v>174.25787699688249</v>
      </c>
      <c r="U36" s="41">
        <f t="shared" si="4"/>
        <v>565.73881824464411</v>
      </c>
      <c r="V36" s="41">
        <f t="shared" si="5"/>
        <v>9.4244358580625107</v>
      </c>
      <c r="W36" s="41">
        <f t="shared" si="6"/>
        <v>56.68542534844682</v>
      </c>
      <c r="X36" s="41">
        <f t="shared" si="7"/>
        <v>68.022510418136193</v>
      </c>
      <c r="Y36" s="41">
        <f t="shared" si="8"/>
        <v>174.25787699688249</v>
      </c>
      <c r="Z36" s="41">
        <f t="shared" si="9"/>
        <v>565.73881824464411</v>
      </c>
    </row>
    <row r="37" spans="1:26" x14ac:dyDescent="0.25">
      <c r="A37" s="39" t="s">
        <v>24</v>
      </c>
      <c r="B37" s="96" t="s">
        <v>218</v>
      </c>
      <c r="C37" s="36">
        <v>4.2571428571428573E-2</v>
      </c>
      <c r="D37" s="36">
        <v>7.3523198571428569E-2</v>
      </c>
      <c r="E37" s="36">
        <v>5.3214285714285714E-2</v>
      </c>
      <c r="F37" s="36">
        <v>9.1903998214285729E-2</v>
      </c>
      <c r="G37" s="36">
        <v>6.3857142857142848E-2</v>
      </c>
      <c r="H37" s="36">
        <v>0.11028479785714285</v>
      </c>
      <c r="I37" s="36">
        <v>7.4499999999999997E-2</v>
      </c>
      <c r="J37" s="36">
        <v>0.12866559750000001</v>
      </c>
      <c r="K37" s="36">
        <v>8.5142857142857145E-2</v>
      </c>
      <c r="L37" s="36">
        <v>0.14704639714285714</v>
      </c>
      <c r="M37" s="139" t="s">
        <v>130</v>
      </c>
      <c r="N37" s="43" t="s">
        <v>131</v>
      </c>
      <c r="O37" s="144">
        <v>2500</v>
      </c>
      <c r="P37" s="144">
        <v>1</v>
      </c>
      <c r="Q37" s="41">
        <f t="shared" si="0"/>
        <v>183.80799642857141</v>
      </c>
      <c r="R37" s="41">
        <f t="shared" si="1"/>
        <v>229.75999553571432</v>
      </c>
      <c r="S37" s="41">
        <f t="shared" si="2"/>
        <v>275.71199464285712</v>
      </c>
      <c r="T37" s="41">
        <f t="shared" si="3"/>
        <v>321.66399375000003</v>
      </c>
      <c r="U37" s="41">
        <f t="shared" si="4"/>
        <v>367.61599285714283</v>
      </c>
      <c r="V37" s="41">
        <f t="shared" si="5"/>
        <v>183.80799642857141</v>
      </c>
      <c r="W37" s="41">
        <f t="shared" si="6"/>
        <v>229.75999553571432</v>
      </c>
      <c r="X37" s="41">
        <f t="shared" si="7"/>
        <v>275.71199464285712</v>
      </c>
      <c r="Y37" s="41">
        <f t="shared" si="8"/>
        <v>321.66399375000003</v>
      </c>
      <c r="Z37" s="41">
        <f t="shared" si="9"/>
        <v>367.61599285714283</v>
      </c>
    </row>
    <row r="38" spans="1:26" x14ac:dyDescent="0.25">
      <c r="A38" s="93" t="s">
        <v>24</v>
      </c>
      <c r="B38" s="85" t="s">
        <v>214</v>
      </c>
      <c r="C38" s="36">
        <v>2.6003723150912643E-2</v>
      </c>
      <c r="D38" s="36">
        <v>4.4909860086399439E-2</v>
      </c>
      <c r="E38" s="36">
        <v>3.2504653938640805E-2</v>
      </c>
      <c r="F38" s="36">
        <v>5.6137325107999299E-2</v>
      </c>
      <c r="G38" s="36">
        <v>3.9005584726368968E-2</v>
      </c>
      <c r="H38" s="36">
        <v>6.7364790129599159E-2</v>
      </c>
      <c r="I38" s="36">
        <v>4.5506515514097123E-2</v>
      </c>
      <c r="J38" s="36">
        <v>7.8592255151199011E-2</v>
      </c>
      <c r="K38" s="36">
        <v>5.2007446301825286E-2</v>
      </c>
      <c r="L38" s="36">
        <v>8.9819720172798878E-2</v>
      </c>
      <c r="M38" s="140" t="s">
        <v>213</v>
      </c>
      <c r="N38" s="43"/>
      <c r="O38" s="144">
        <v>2500</v>
      </c>
      <c r="P38" s="144">
        <v>1</v>
      </c>
      <c r="Q38" s="41">
        <f t="shared" si="0"/>
        <v>112.27465021599859</v>
      </c>
      <c r="R38" s="41">
        <f t="shared" si="1"/>
        <v>140.34331276999825</v>
      </c>
      <c r="S38" s="41">
        <f t="shared" si="2"/>
        <v>168.41197532399789</v>
      </c>
      <c r="T38" s="41">
        <f t="shared" si="3"/>
        <v>196.48063787799754</v>
      </c>
      <c r="U38" s="41">
        <f t="shared" si="4"/>
        <v>224.54930043199718</v>
      </c>
      <c r="V38" s="41">
        <f t="shared" si="5"/>
        <v>112.27465021599859</v>
      </c>
      <c r="W38" s="41">
        <f t="shared" si="6"/>
        <v>140.34331276999825</v>
      </c>
      <c r="X38" s="41">
        <f t="shared" si="7"/>
        <v>168.41197532399789</v>
      </c>
      <c r="Y38" s="41">
        <f t="shared" si="8"/>
        <v>196.48063787799754</v>
      </c>
      <c r="Z38" s="41">
        <f t="shared" si="9"/>
        <v>224.54930043199718</v>
      </c>
    </row>
    <row r="39" spans="1:26" x14ac:dyDescent="0.25">
      <c r="A39" s="136" t="s">
        <v>24</v>
      </c>
      <c r="B39" s="135"/>
      <c r="C39" s="36"/>
      <c r="D39" s="36">
        <v>3.2941541673333324E-2</v>
      </c>
      <c r="E39" s="36"/>
      <c r="F39" s="36">
        <v>5.5124144023437502E-2</v>
      </c>
      <c r="G39" s="36"/>
      <c r="H39" s="36">
        <v>0.11843504199999999</v>
      </c>
      <c r="I39" s="36"/>
      <c r="J39" s="36">
        <v>0.17066866221913576</v>
      </c>
      <c r="K39" s="36"/>
      <c r="L39" s="36">
        <v>0.24759816345000005</v>
      </c>
      <c r="M39" s="142" t="s">
        <v>85</v>
      </c>
      <c r="N39" s="43"/>
      <c r="O39" s="144">
        <v>2500</v>
      </c>
      <c r="P39" s="144">
        <v>1</v>
      </c>
      <c r="Q39" s="41">
        <f t="shared" si="0"/>
        <v>82.353854183333311</v>
      </c>
      <c r="R39" s="41">
        <f t="shared" si="1"/>
        <v>137.81036005859374</v>
      </c>
      <c r="S39" s="41">
        <f t="shared" si="2"/>
        <v>296.087605</v>
      </c>
      <c r="T39" s="41">
        <f t="shared" si="3"/>
        <v>426.67165554783941</v>
      </c>
      <c r="U39" s="41">
        <f t="shared" si="4"/>
        <v>618.9954086250001</v>
      </c>
      <c r="V39" s="41">
        <f t="shared" si="5"/>
        <v>82.353854183333311</v>
      </c>
      <c r="W39" s="41">
        <f t="shared" si="6"/>
        <v>137.81036005859374</v>
      </c>
      <c r="X39" s="41">
        <f t="shared" si="7"/>
        <v>296.087605</v>
      </c>
      <c r="Y39" s="41">
        <f t="shared" si="8"/>
        <v>426.67165554783941</v>
      </c>
      <c r="Z39" s="41">
        <f t="shared" si="9"/>
        <v>618.9954086250001</v>
      </c>
    </row>
    <row r="40" spans="1:26" x14ac:dyDescent="0.25">
      <c r="A40" s="39" t="s">
        <v>1</v>
      </c>
      <c r="B40" s="96" t="s">
        <v>218</v>
      </c>
      <c r="C40" s="36">
        <v>5.5E-2</v>
      </c>
      <c r="D40" s="36">
        <v>0.12587226666666668</v>
      </c>
      <c r="E40" s="36">
        <v>6.8750000000000006E-2</v>
      </c>
      <c r="F40" s="36">
        <v>0.15734033333333336</v>
      </c>
      <c r="G40" s="36">
        <v>8.2500000000000004E-2</v>
      </c>
      <c r="H40" s="36">
        <v>0.18880840000000004</v>
      </c>
      <c r="I40" s="36">
        <v>9.6250000000000002E-2</v>
      </c>
      <c r="J40" s="36">
        <v>0.22027646666666667</v>
      </c>
      <c r="K40" s="37">
        <v>0.11</v>
      </c>
      <c r="L40" s="36">
        <v>0.25174453333333335</v>
      </c>
      <c r="M40" s="139" t="s">
        <v>130</v>
      </c>
      <c r="N40" s="43" t="s">
        <v>148</v>
      </c>
      <c r="O40" s="144">
        <v>2500</v>
      </c>
      <c r="P40" s="144">
        <v>1</v>
      </c>
      <c r="Q40" s="41">
        <f t="shared" si="0"/>
        <v>314.6806666666667</v>
      </c>
      <c r="R40" s="41">
        <f t="shared" si="1"/>
        <v>393.35083333333341</v>
      </c>
      <c r="S40" s="41">
        <f t="shared" si="2"/>
        <v>472.02100000000013</v>
      </c>
      <c r="T40" s="41">
        <f t="shared" si="3"/>
        <v>550.69116666666673</v>
      </c>
      <c r="U40" s="41">
        <f t="shared" si="4"/>
        <v>629.36133333333339</v>
      </c>
      <c r="V40" s="41">
        <f t="shared" si="5"/>
        <v>314.6806666666667</v>
      </c>
      <c r="W40" s="41">
        <f t="shared" si="6"/>
        <v>393.35083333333341</v>
      </c>
      <c r="X40" s="41">
        <f t="shared" si="7"/>
        <v>472.02100000000013</v>
      </c>
      <c r="Y40" s="41">
        <f t="shared" si="8"/>
        <v>550.69116666666673</v>
      </c>
      <c r="Z40" s="41">
        <f t="shared" si="9"/>
        <v>629.36133333333339</v>
      </c>
    </row>
    <row r="41" spans="1:26" x14ac:dyDescent="0.25">
      <c r="A41" s="93" t="s">
        <v>1</v>
      </c>
      <c r="B41" s="85" t="s">
        <v>214</v>
      </c>
      <c r="C41" s="36">
        <v>3.9761341679913867E-2</v>
      </c>
      <c r="D41" s="36">
        <v>9.0997276417428483E-2</v>
      </c>
      <c r="E41" s="36">
        <v>4.970167709989233E-2</v>
      </c>
      <c r="F41" s="36">
        <v>0.11374659552178558</v>
      </c>
      <c r="G41" s="36">
        <v>8.0707300439288143E-2</v>
      </c>
      <c r="H41" s="36">
        <v>0.18470565168801564</v>
      </c>
      <c r="I41" s="36">
        <v>0.12556522035551965</v>
      </c>
      <c r="J41" s="36">
        <v>0.28736688910270414</v>
      </c>
      <c r="K41" s="36">
        <v>0.14350310897773672</v>
      </c>
      <c r="L41" s="36">
        <v>0.32841930183166185</v>
      </c>
      <c r="M41" s="140" t="s">
        <v>213</v>
      </c>
      <c r="N41" s="43"/>
      <c r="O41" s="144">
        <v>2500</v>
      </c>
      <c r="P41" s="144">
        <v>1</v>
      </c>
      <c r="Q41" s="41">
        <f t="shared" si="0"/>
        <v>227.49319104357122</v>
      </c>
      <c r="R41" s="41">
        <f t="shared" si="1"/>
        <v>284.36648880446393</v>
      </c>
      <c r="S41" s="41">
        <f t="shared" si="2"/>
        <v>461.76412922003908</v>
      </c>
      <c r="T41" s="41">
        <f t="shared" si="3"/>
        <v>718.41722275676034</v>
      </c>
      <c r="U41" s="41">
        <f t="shared" si="4"/>
        <v>821.04825457915467</v>
      </c>
      <c r="V41" s="41">
        <f t="shared" si="5"/>
        <v>227.49319104357122</v>
      </c>
      <c r="W41" s="41">
        <f t="shared" si="6"/>
        <v>284.36648880446393</v>
      </c>
      <c r="X41" s="41">
        <f t="shared" si="7"/>
        <v>461.76412922003908</v>
      </c>
      <c r="Y41" s="41">
        <f t="shared" si="8"/>
        <v>718.41722275676034</v>
      </c>
      <c r="Z41" s="41">
        <f t="shared" si="9"/>
        <v>821.04825457915467</v>
      </c>
    </row>
    <row r="42" spans="1:26" x14ac:dyDescent="0.25">
      <c r="A42" s="92" t="s">
        <v>25</v>
      </c>
      <c r="B42" s="85" t="s">
        <v>214</v>
      </c>
      <c r="C42" s="36">
        <v>1.6425143721851405E-2</v>
      </c>
      <c r="D42" s="36">
        <v>3.1871348877880464E-2</v>
      </c>
      <c r="E42" s="36">
        <v>2.0531429652314255E-2</v>
      </c>
      <c r="F42" s="36">
        <v>3.9839186097350585E-2</v>
      </c>
      <c r="G42" s="36">
        <v>2.4637715582777105E-2</v>
      </c>
      <c r="H42" s="36">
        <v>4.7807023316820692E-2</v>
      </c>
      <c r="I42" s="36">
        <v>4.3231905657951541E-2</v>
      </c>
      <c r="J42" s="36">
        <v>8.388718973868918E-2</v>
      </c>
      <c r="K42" s="36">
        <v>4.9407892180516048E-2</v>
      </c>
      <c r="L42" s="36">
        <v>9.5871073987073341E-2</v>
      </c>
      <c r="M42" s="140" t="s">
        <v>213</v>
      </c>
      <c r="N42" s="43"/>
      <c r="O42" s="144">
        <v>2500</v>
      </c>
      <c r="P42" s="144">
        <v>1</v>
      </c>
      <c r="Q42" s="41">
        <f t="shared" si="0"/>
        <v>79.678372194701154</v>
      </c>
      <c r="R42" s="41">
        <f t="shared" si="1"/>
        <v>99.597965243376464</v>
      </c>
      <c r="S42" s="41">
        <f t="shared" si="2"/>
        <v>119.51755829205173</v>
      </c>
      <c r="T42" s="41">
        <f t="shared" si="3"/>
        <v>209.71797434672294</v>
      </c>
      <c r="U42" s="41">
        <f t="shared" si="4"/>
        <v>239.67768496768335</v>
      </c>
      <c r="V42" s="41">
        <f t="shared" si="5"/>
        <v>79.678372194701154</v>
      </c>
      <c r="W42" s="41">
        <f t="shared" si="6"/>
        <v>99.597965243376464</v>
      </c>
      <c r="X42" s="41">
        <f t="shared" si="7"/>
        <v>119.51755829205173</v>
      </c>
      <c r="Y42" s="41">
        <f t="shared" si="8"/>
        <v>209.71797434672294</v>
      </c>
      <c r="Z42" s="41">
        <f t="shared" si="9"/>
        <v>239.67768496768335</v>
      </c>
    </row>
    <row r="43" spans="1:26" x14ac:dyDescent="0.25">
      <c r="A43" s="92" t="s">
        <v>26</v>
      </c>
      <c r="B43" s="85" t="s">
        <v>214</v>
      </c>
      <c r="C43" s="36">
        <v>1.8499049966165151E-2</v>
      </c>
      <c r="D43" s="36">
        <v>3.5895556554346862E-2</v>
      </c>
      <c r="E43" s="36">
        <v>2.3123812457706443E-2</v>
      </c>
      <c r="F43" s="36">
        <v>4.4869445692933579E-2</v>
      </c>
      <c r="G43" s="36">
        <v>2.7748574949247731E-2</v>
      </c>
      <c r="H43" s="36">
        <v>5.3843334831520297E-2</v>
      </c>
      <c r="I43" s="36">
        <v>6.189334461449373E-2</v>
      </c>
      <c r="J43" s="36">
        <v>0.12009784588996364</v>
      </c>
      <c r="K43" s="36">
        <v>7.073525098799284E-2</v>
      </c>
      <c r="L43" s="36">
        <v>0.13725468101710131</v>
      </c>
      <c r="M43" s="140" t="s">
        <v>213</v>
      </c>
      <c r="N43" s="43"/>
      <c r="O43" s="144">
        <v>2500</v>
      </c>
      <c r="P43" s="144">
        <v>1</v>
      </c>
      <c r="Q43" s="41">
        <f t="shared" si="0"/>
        <v>89.738891385867149</v>
      </c>
      <c r="R43" s="41">
        <f t="shared" si="1"/>
        <v>112.17361423233395</v>
      </c>
      <c r="S43" s="41">
        <f t="shared" si="2"/>
        <v>134.60833707880073</v>
      </c>
      <c r="T43" s="41">
        <f t="shared" si="3"/>
        <v>300.24461472490907</v>
      </c>
      <c r="U43" s="41">
        <f t="shared" si="4"/>
        <v>343.13670254275326</v>
      </c>
      <c r="V43" s="41">
        <f t="shared" si="5"/>
        <v>89.738891385867149</v>
      </c>
      <c r="W43" s="41">
        <f t="shared" si="6"/>
        <v>112.17361423233395</v>
      </c>
      <c r="X43" s="41">
        <f t="shared" si="7"/>
        <v>134.60833707880073</v>
      </c>
      <c r="Y43" s="41">
        <f t="shared" si="8"/>
        <v>300.24461472490907</v>
      </c>
      <c r="Z43" s="41">
        <f t="shared" si="9"/>
        <v>343.13670254275326</v>
      </c>
    </row>
    <row r="44" spans="1:26" x14ac:dyDescent="0.25">
      <c r="A44" s="92" t="s">
        <v>204</v>
      </c>
      <c r="B44" s="85" t="s">
        <v>214</v>
      </c>
      <c r="C44" s="36">
        <v>5.7798455470010439E-3</v>
      </c>
      <c r="D44" s="36">
        <v>1.138475443544619E-2</v>
      </c>
      <c r="E44" s="36">
        <v>7.224806933751304E-3</v>
      </c>
      <c r="F44" s="36">
        <v>1.4230943044307736E-2</v>
      </c>
      <c r="G44" s="36">
        <v>8.6697683205015658E-3</v>
      </c>
      <c r="H44" s="36">
        <v>1.7077131653169285E-2</v>
      </c>
      <c r="I44" s="36">
        <v>1.0114729707251826E-2</v>
      </c>
      <c r="J44" s="36">
        <v>1.9923320262030829E-2</v>
      </c>
      <c r="K44" s="36">
        <v>1.1559691094002088E-2</v>
      </c>
      <c r="L44" s="36">
        <v>2.276950887089238E-2</v>
      </c>
      <c r="M44" s="140" t="s">
        <v>213</v>
      </c>
      <c r="N44" s="43"/>
      <c r="O44" s="144">
        <v>2500</v>
      </c>
      <c r="P44" s="144">
        <v>1</v>
      </c>
      <c r="Q44" s="41">
        <f t="shared" si="0"/>
        <v>28.461886088615476</v>
      </c>
      <c r="R44" s="41">
        <f t="shared" si="1"/>
        <v>35.57735761076934</v>
      </c>
      <c r="S44" s="41">
        <f t="shared" si="2"/>
        <v>42.692829132923215</v>
      </c>
      <c r="T44" s="41">
        <f t="shared" si="3"/>
        <v>49.808300655077069</v>
      </c>
      <c r="U44" s="41">
        <f t="shared" si="4"/>
        <v>56.923772177230951</v>
      </c>
      <c r="V44" s="41">
        <f t="shared" si="5"/>
        <v>28.461886088615476</v>
      </c>
      <c r="W44" s="41">
        <f t="shared" si="6"/>
        <v>35.57735761076934</v>
      </c>
      <c r="X44" s="41">
        <f t="shared" si="7"/>
        <v>42.692829132923215</v>
      </c>
      <c r="Y44" s="41">
        <f t="shared" si="8"/>
        <v>49.808300655077069</v>
      </c>
      <c r="Z44" s="41">
        <f t="shared" si="9"/>
        <v>56.923772177230951</v>
      </c>
    </row>
    <row r="45" spans="1:26" x14ac:dyDescent="0.25">
      <c r="A45" s="92" t="s">
        <v>205</v>
      </c>
      <c r="B45" s="85" t="s">
        <v>214</v>
      </c>
      <c r="C45" s="36">
        <v>9.5725715263053086E-3</v>
      </c>
      <c r="D45" s="36">
        <v>1.885541322108111E-2</v>
      </c>
      <c r="E45" s="36">
        <v>1.1965714407881635E-2</v>
      </c>
      <c r="F45" s="36">
        <v>2.3569266526351388E-2</v>
      </c>
      <c r="G45" s="36">
        <v>1.4358857289457962E-2</v>
      </c>
      <c r="H45" s="36">
        <v>2.8283119831621666E-2</v>
      </c>
      <c r="I45" s="36">
        <v>1.675200017103429E-2</v>
      </c>
      <c r="J45" s="36">
        <v>3.2996973136891941E-2</v>
      </c>
      <c r="K45" s="36">
        <v>1.9145143052610617E-2</v>
      </c>
      <c r="L45" s="36">
        <v>3.7710826442162219E-2</v>
      </c>
      <c r="M45" s="140" t="s">
        <v>213</v>
      </c>
      <c r="N45" s="43"/>
      <c r="O45" s="144">
        <v>2500</v>
      </c>
      <c r="P45" s="144">
        <v>1</v>
      </c>
      <c r="Q45" s="41">
        <f t="shared" si="0"/>
        <v>47.138533052702776</v>
      </c>
      <c r="R45" s="41">
        <f t="shared" si="1"/>
        <v>58.923166315878468</v>
      </c>
      <c r="S45" s="41">
        <f t="shared" si="2"/>
        <v>70.707799579054168</v>
      </c>
      <c r="T45" s="41">
        <f t="shared" si="3"/>
        <v>82.492432842229846</v>
      </c>
      <c r="U45" s="41">
        <f t="shared" si="4"/>
        <v>94.277066105405552</v>
      </c>
      <c r="V45" s="41">
        <f t="shared" si="5"/>
        <v>47.138533052702776</v>
      </c>
      <c r="W45" s="41">
        <f t="shared" si="6"/>
        <v>58.923166315878468</v>
      </c>
      <c r="X45" s="41">
        <f t="shared" si="7"/>
        <v>70.707799579054168</v>
      </c>
      <c r="Y45" s="41">
        <f t="shared" si="8"/>
        <v>82.492432842229846</v>
      </c>
      <c r="Z45" s="41">
        <f t="shared" si="9"/>
        <v>94.277066105405552</v>
      </c>
    </row>
    <row r="46" spans="1:26" x14ac:dyDescent="0.25">
      <c r="A46" s="92" t="s">
        <v>107</v>
      </c>
      <c r="B46" s="85" t="s">
        <v>214</v>
      </c>
      <c r="C46" s="36">
        <v>7.0783056874107976E-3</v>
      </c>
      <c r="D46" s="36">
        <v>1.3942374656015961E-2</v>
      </c>
      <c r="E46" s="36">
        <v>8.8478821092634972E-3</v>
      </c>
      <c r="F46" s="36">
        <v>1.742796832001995E-2</v>
      </c>
      <c r="G46" s="36">
        <v>1.0617458531116196E-2</v>
      </c>
      <c r="H46" s="36">
        <v>2.0913561984023939E-2</v>
      </c>
      <c r="I46" s="36">
        <v>1.2387034952968895E-2</v>
      </c>
      <c r="J46" s="36">
        <v>2.4399155648027929E-2</v>
      </c>
      <c r="K46" s="36">
        <v>1.4156611374821595E-2</v>
      </c>
      <c r="L46" s="36">
        <v>2.7884749312031921E-2</v>
      </c>
      <c r="M46" s="140" t="s">
        <v>213</v>
      </c>
      <c r="N46" s="43"/>
      <c r="O46" s="144">
        <v>2500</v>
      </c>
      <c r="P46" s="144">
        <v>1</v>
      </c>
      <c r="Q46" s="41">
        <f t="shared" si="0"/>
        <v>34.8559366400399</v>
      </c>
      <c r="R46" s="41">
        <f t="shared" si="1"/>
        <v>43.569920800049879</v>
      </c>
      <c r="S46" s="41">
        <f t="shared" si="2"/>
        <v>52.28390496005985</v>
      </c>
      <c r="T46" s="41">
        <f t="shared" si="3"/>
        <v>60.997889120069821</v>
      </c>
      <c r="U46" s="41">
        <f t="shared" si="4"/>
        <v>69.7118732800798</v>
      </c>
      <c r="V46" s="41">
        <f t="shared" si="5"/>
        <v>34.8559366400399</v>
      </c>
      <c r="W46" s="41">
        <f t="shared" si="6"/>
        <v>43.569920800049879</v>
      </c>
      <c r="X46" s="41">
        <f t="shared" si="7"/>
        <v>52.28390496005985</v>
      </c>
      <c r="Y46" s="41">
        <f t="shared" si="8"/>
        <v>60.997889120069821</v>
      </c>
      <c r="Z46" s="41">
        <f t="shared" si="9"/>
        <v>69.7118732800798</v>
      </c>
    </row>
    <row r="47" spans="1:26" x14ac:dyDescent="0.25">
      <c r="A47" s="92" t="s">
        <v>206</v>
      </c>
      <c r="B47" s="85" t="s">
        <v>214</v>
      </c>
      <c r="C47" s="36">
        <v>0.34197058899230237</v>
      </c>
      <c r="D47" s="36">
        <v>0.51560045604332738</v>
      </c>
      <c r="E47" s="36">
        <v>0.54059250060134179</v>
      </c>
      <c r="F47" s="36">
        <v>0.81506933290666295</v>
      </c>
      <c r="G47" s="36">
        <v>0.64871100072161014</v>
      </c>
      <c r="H47" s="36">
        <v>0.97808319948799549</v>
      </c>
      <c r="I47" s="36">
        <v>0.86363081643836814</v>
      </c>
      <c r="J47" s="36">
        <v>1.3021249696380088</v>
      </c>
      <c r="K47" s="36">
        <v>1.1176085358157115</v>
      </c>
      <c r="L47" s="36">
        <v>1.6850556430672088</v>
      </c>
      <c r="M47" s="140" t="s">
        <v>213</v>
      </c>
      <c r="N47" s="43"/>
      <c r="O47" s="144">
        <v>2500</v>
      </c>
      <c r="P47" s="144">
        <v>1</v>
      </c>
      <c r="Q47" s="41">
        <f t="shared" si="0"/>
        <v>1289.0011401083184</v>
      </c>
      <c r="R47" s="41">
        <f t="shared" si="1"/>
        <v>2037.6733322666573</v>
      </c>
      <c r="S47" s="41">
        <f t="shared" si="2"/>
        <v>2445.2079987199886</v>
      </c>
      <c r="T47" s="41">
        <f t="shared" si="3"/>
        <v>3255.3124240950219</v>
      </c>
      <c r="U47" s="41">
        <f t="shared" si="4"/>
        <v>4212.639107668022</v>
      </c>
      <c r="V47" s="41">
        <f t="shared" si="5"/>
        <v>1289.0011401083184</v>
      </c>
      <c r="W47" s="41">
        <f t="shared" si="6"/>
        <v>2037.6733322666573</v>
      </c>
      <c r="X47" s="41">
        <f t="shared" si="7"/>
        <v>2445.2079987199886</v>
      </c>
      <c r="Y47" s="41">
        <f t="shared" si="8"/>
        <v>3255.3124240950219</v>
      </c>
      <c r="Z47" s="41">
        <f t="shared" si="9"/>
        <v>4212.639107668022</v>
      </c>
    </row>
    <row r="48" spans="1:26" x14ac:dyDescent="0.25">
      <c r="A48" s="2" t="s">
        <v>27</v>
      </c>
      <c r="B48" s="87"/>
      <c r="C48" s="36"/>
      <c r="D48" s="36"/>
      <c r="E48" s="36"/>
      <c r="F48" s="36"/>
      <c r="G48" s="36"/>
      <c r="H48" s="36"/>
      <c r="I48" s="36"/>
      <c r="J48" s="36"/>
      <c r="K48" s="36"/>
      <c r="L48" s="36"/>
      <c r="M48" s="141"/>
      <c r="N48" s="43"/>
      <c r="O48" s="144">
        <v>2500</v>
      </c>
      <c r="P48" s="144">
        <v>1</v>
      </c>
      <c r="Q48" s="41">
        <f t="shared" si="0"/>
        <v>0</v>
      </c>
      <c r="R48" s="41">
        <f t="shared" si="1"/>
        <v>0</v>
      </c>
      <c r="S48" s="41">
        <f t="shared" si="2"/>
        <v>0</v>
      </c>
      <c r="T48" s="41">
        <f t="shared" si="3"/>
        <v>0</v>
      </c>
      <c r="U48" s="41">
        <f t="shared" si="4"/>
        <v>0</v>
      </c>
      <c r="V48" s="41">
        <f t="shared" si="5"/>
        <v>0</v>
      </c>
      <c r="W48" s="41">
        <f t="shared" si="6"/>
        <v>0</v>
      </c>
      <c r="X48" s="41">
        <f t="shared" si="7"/>
        <v>0</v>
      </c>
      <c r="Y48" s="41">
        <f t="shared" si="8"/>
        <v>0</v>
      </c>
      <c r="Z48" s="41">
        <f t="shared" si="9"/>
        <v>0</v>
      </c>
    </row>
    <row r="49" spans="1:26" x14ac:dyDescent="0.25">
      <c r="A49" s="2" t="s">
        <v>28</v>
      </c>
      <c r="B49" s="90"/>
      <c r="C49" s="36"/>
      <c r="D49" s="36"/>
      <c r="E49" s="36"/>
      <c r="F49" s="36"/>
      <c r="G49" s="36"/>
      <c r="H49" s="36"/>
      <c r="I49" s="36"/>
      <c r="J49" s="36"/>
      <c r="K49" s="36"/>
      <c r="L49" s="36"/>
      <c r="M49" s="141"/>
      <c r="N49" s="43"/>
      <c r="O49" s="144">
        <v>2500</v>
      </c>
      <c r="P49" s="144">
        <v>1</v>
      </c>
      <c r="Q49" s="41">
        <f t="shared" si="0"/>
        <v>0</v>
      </c>
      <c r="R49" s="41">
        <f t="shared" si="1"/>
        <v>0</v>
      </c>
      <c r="S49" s="41">
        <f t="shared" si="2"/>
        <v>0</v>
      </c>
      <c r="T49" s="41">
        <f t="shared" si="3"/>
        <v>0</v>
      </c>
      <c r="U49" s="41">
        <f t="shared" si="4"/>
        <v>0</v>
      </c>
      <c r="V49" s="41">
        <f t="shared" si="5"/>
        <v>0</v>
      </c>
      <c r="W49" s="41">
        <f t="shared" si="6"/>
        <v>0</v>
      </c>
      <c r="X49" s="41">
        <f t="shared" si="7"/>
        <v>0</v>
      </c>
      <c r="Y49" s="41">
        <f t="shared" si="8"/>
        <v>0</v>
      </c>
      <c r="Z49" s="41">
        <f t="shared" si="9"/>
        <v>0</v>
      </c>
    </row>
    <row r="50" spans="1:26" x14ac:dyDescent="0.25">
      <c r="A50" s="2" t="s">
        <v>29</v>
      </c>
      <c r="B50" s="87"/>
      <c r="C50" s="36"/>
      <c r="D50" s="36"/>
      <c r="E50" s="36"/>
      <c r="F50" s="36"/>
      <c r="G50" s="36"/>
      <c r="H50" s="36"/>
      <c r="I50" s="36"/>
      <c r="J50" s="36"/>
      <c r="K50" s="36"/>
      <c r="L50" s="36"/>
      <c r="M50" s="141"/>
      <c r="N50" s="43"/>
      <c r="O50" s="144">
        <v>2500</v>
      </c>
      <c r="P50" s="144">
        <v>1</v>
      </c>
      <c r="Q50" s="41">
        <f t="shared" si="0"/>
        <v>0</v>
      </c>
      <c r="R50" s="41">
        <f t="shared" si="1"/>
        <v>0</v>
      </c>
      <c r="S50" s="41">
        <f t="shared" si="2"/>
        <v>0</v>
      </c>
      <c r="T50" s="41">
        <f t="shared" si="3"/>
        <v>0</v>
      </c>
      <c r="U50" s="41">
        <f t="shared" si="4"/>
        <v>0</v>
      </c>
      <c r="V50" s="41">
        <f t="shared" si="5"/>
        <v>0</v>
      </c>
      <c r="W50" s="41">
        <f t="shared" si="6"/>
        <v>0</v>
      </c>
      <c r="X50" s="41">
        <f t="shared" si="7"/>
        <v>0</v>
      </c>
      <c r="Y50" s="41">
        <f t="shared" si="8"/>
        <v>0</v>
      </c>
      <c r="Z50" s="41">
        <f t="shared" si="9"/>
        <v>0</v>
      </c>
    </row>
    <row r="51" spans="1:26" x14ac:dyDescent="0.25">
      <c r="A51" s="2" t="s">
        <v>33</v>
      </c>
      <c r="B51" s="87"/>
      <c r="C51" s="36"/>
      <c r="D51" s="36"/>
      <c r="E51" s="36"/>
      <c r="F51" s="36"/>
      <c r="G51" s="36"/>
      <c r="H51" s="36"/>
      <c r="I51" s="36"/>
      <c r="J51" s="36"/>
      <c r="K51" s="36"/>
      <c r="L51" s="36"/>
      <c r="M51" s="141"/>
      <c r="N51" s="43"/>
      <c r="O51" s="144">
        <v>2500</v>
      </c>
      <c r="P51" s="144">
        <v>1</v>
      </c>
      <c r="Q51" s="41">
        <f t="shared" si="0"/>
        <v>0</v>
      </c>
      <c r="R51" s="41">
        <f t="shared" si="1"/>
        <v>0</v>
      </c>
      <c r="S51" s="41">
        <f t="shared" si="2"/>
        <v>0</v>
      </c>
      <c r="T51" s="41">
        <f t="shared" si="3"/>
        <v>0</v>
      </c>
      <c r="U51" s="41">
        <f t="shared" si="4"/>
        <v>0</v>
      </c>
      <c r="V51" s="41">
        <f t="shared" si="5"/>
        <v>0</v>
      </c>
      <c r="W51" s="41">
        <f t="shared" si="6"/>
        <v>0</v>
      </c>
      <c r="X51" s="41">
        <f t="shared" si="7"/>
        <v>0</v>
      </c>
      <c r="Y51" s="41">
        <f t="shared" si="8"/>
        <v>0</v>
      </c>
      <c r="Z51" s="41">
        <f t="shared" si="9"/>
        <v>0</v>
      </c>
    </row>
    <row r="52" spans="1:26" x14ac:dyDescent="0.25">
      <c r="A52" s="2" t="s">
        <v>34</v>
      </c>
      <c r="B52" s="87"/>
      <c r="C52" s="36"/>
      <c r="D52" s="36"/>
      <c r="E52" s="36"/>
      <c r="F52" s="36"/>
      <c r="G52" s="36"/>
      <c r="H52" s="36"/>
      <c r="I52" s="36"/>
      <c r="J52" s="36"/>
      <c r="K52" s="36"/>
      <c r="L52" s="36"/>
      <c r="M52" s="141"/>
      <c r="N52" s="43"/>
      <c r="O52" s="144">
        <v>2500</v>
      </c>
      <c r="P52" s="144">
        <v>1</v>
      </c>
      <c r="Q52" s="41">
        <f t="shared" si="0"/>
        <v>0</v>
      </c>
      <c r="R52" s="41">
        <f t="shared" si="1"/>
        <v>0</v>
      </c>
      <c r="S52" s="41">
        <f t="shared" si="2"/>
        <v>0</v>
      </c>
      <c r="T52" s="41">
        <f t="shared" si="3"/>
        <v>0</v>
      </c>
      <c r="U52" s="41">
        <f t="shared" si="4"/>
        <v>0</v>
      </c>
      <c r="V52" s="41">
        <f t="shared" si="5"/>
        <v>0</v>
      </c>
      <c r="W52" s="41">
        <f t="shared" si="6"/>
        <v>0</v>
      </c>
      <c r="X52" s="41">
        <f t="shared" si="7"/>
        <v>0</v>
      </c>
      <c r="Y52" s="41">
        <f t="shared" si="8"/>
        <v>0</v>
      </c>
      <c r="Z52" s="41">
        <f t="shared" si="9"/>
        <v>0</v>
      </c>
    </row>
    <row r="53" spans="1:26" x14ac:dyDescent="0.25">
      <c r="A53" s="92" t="s">
        <v>186</v>
      </c>
      <c r="B53" s="85" t="s">
        <v>214</v>
      </c>
      <c r="C53" s="36">
        <v>1.275303928793441E-2</v>
      </c>
      <c r="D53" s="36">
        <v>3.8995053250978962E-2</v>
      </c>
      <c r="E53" s="36">
        <v>1.5941299109918011E-2</v>
      </c>
      <c r="F53" s="36">
        <v>4.8743816563723702E-2</v>
      </c>
      <c r="G53" s="36">
        <v>2.7498353715506931E-2</v>
      </c>
      <c r="H53" s="36">
        <v>8.4081899478263639E-2</v>
      </c>
      <c r="I53" s="36">
        <v>3.2081412668091419E-2</v>
      </c>
      <c r="J53" s="36">
        <v>9.8095549391307588E-2</v>
      </c>
      <c r="K53" s="36">
        <v>3.6664471620675911E-2</v>
      </c>
      <c r="L53" s="36">
        <v>0.11210919930435154</v>
      </c>
      <c r="M53" s="140" t="s">
        <v>213</v>
      </c>
      <c r="N53" s="43"/>
      <c r="O53" s="144">
        <v>2500</v>
      </c>
      <c r="P53" s="144">
        <v>1</v>
      </c>
      <c r="Q53" s="41">
        <f t="shared" si="0"/>
        <v>97.48763312744741</v>
      </c>
      <c r="R53" s="41">
        <f t="shared" si="1"/>
        <v>121.85954140930926</v>
      </c>
      <c r="S53" s="41">
        <f t="shared" si="2"/>
        <v>210.20474869565911</v>
      </c>
      <c r="T53" s="41">
        <f t="shared" si="3"/>
        <v>245.23887347826897</v>
      </c>
      <c r="U53" s="41">
        <f t="shared" si="4"/>
        <v>280.27299826087886</v>
      </c>
      <c r="V53" s="41">
        <f t="shared" si="5"/>
        <v>97.48763312744741</v>
      </c>
      <c r="W53" s="41">
        <f t="shared" si="6"/>
        <v>121.85954140930926</v>
      </c>
      <c r="X53" s="41">
        <f t="shared" si="7"/>
        <v>210.20474869565911</v>
      </c>
      <c r="Y53" s="41">
        <f t="shared" si="8"/>
        <v>245.23887347826897</v>
      </c>
      <c r="Z53" s="41">
        <f t="shared" si="9"/>
        <v>280.27299826087886</v>
      </c>
    </row>
    <row r="54" spans="1:26" x14ac:dyDescent="0.25">
      <c r="A54" s="92" t="s">
        <v>39</v>
      </c>
      <c r="B54" s="85" t="s">
        <v>214</v>
      </c>
      <c r="C54" s="36">
        <v>1.3060539347216366E-2</v>
      </c>
      <c r="D54" s="36">
        <v>2.5342670549338638E-2</v>
      </c>
      <c r="E54" s="36">
        <v>1.6325674184020457E-2</v>
      </c>
      <c r="F54" s="36">
        <v>3.1678338186673295E-2</v>
      </c>
      <c r="G54" s="36">
        <v>4.6052327221534919E-2</v>
      </c>
      <c r="H54" s="36">
        <v>8.9359935740666363E-2</v>
      </c>
      <c r="I54" s="36">
        <v>8.8288764449473867E-2</v>
      </c>
      <c r="J54" s="36">
        <v>0.17131551853775909</v>
      </c>
      <c r="K54" s="36">
        <v>0.10090144508511299</v>
      </c>
      <c r="L54" s="36">
        <v>0.19578916404315322</v>
      </c>
      <c r="M54" s="140" t="s">
        <v>213</v>
      </c>
      <c r="N54" s="43"/>
      <c r="O54" s="144">
        <v>2500</v>
      </c>
      <c r="P54" s="144">
        <v>1</v>
      </c>
      <c r="Q54" s="41">
        <f t="shared" si="0"/>
        <v>63.356676373346595</v>
      </c>
      <c r="R54" s="41">
        <f t="shared" si="1"/>
        <v>79.195845466683238</v>
      </c>
      <c r="S54" s="41">
        <f t="shared" si="2"/>
        <v>223.39983935166592</v>
      </c>
      <c r="T54" s="41">
        <f t="shared" si="3"/>
        <v>428.28879634439772</v>
      </c>
      <c r="U54" s="41">
        <f t="shared" si="4"/>
        <v>489.47291010788302</v>
      </c>
      <c r="V54" s="41">
        <f t="shared" si="5"/>
        <v>63.356676373346595</v>
      </c>
      <c r="W54" s="41">
        <f t="shared" si="6"/>
        <v>79.195845466683238</v>
      </c>
      <c r="X54" s="41">
        <f t="shared" si="7"/>
        <v>223.39983935166592</v>
      </c>
      <c r="Y54" s="41">
        <f t="shared" si="8"/>
        <v>428.28879634439772</v>
      </c>
      <c r="Z54" s="41">
        <f t="shared" si="9"/>
        <v>489.47291010788302</v>
      </c>
    </row>
    <row r="55" spans="1:26" x14ac:dyDescent="0.25">
      <c r="A55" s="2" t="s">
        <v>40</v>
      </c>
      <c r="B55" s="87"/>
      <c r="C55" s="36"/>
      <c r="D55" s="36"/>
      <c r="E55" s="36"/>
      <c r="F55" s="36"/>
      <c r="G55" s="36"/>
      <c r="H55" s="36"/>
      <c r="I55" s="36"/>
      <c r="J55" s="36"/>
      <c r="K55" s="36"/>
      <c r="L55" s="36"/>
      <c r="M55" s="141"/>
      <c r="N55" s="43"/>
      <c r="O55" s="144">
        <v>2500</v>
      </c>
      <c r="P55" s="144">
        <v>1</v>
      </c>
      <c r="Q55" s="41">
        <f t="shared" si="0"/>
        <v>0</v>
      </c>
      <c r="R55" s="41">
        <f t="shared" si="1"/>
        <v>0</v>
      </c>
      <c r="S55" s="41">
        <f t="shared" si="2"/>
        <v>0</v>
      </c>
      <c r="T55" s="41">
        <f t="shared" si="3"/>
        <v>0</v>
      </c>
      <c r="U55" s="41">
        <f t="shared" si="4"/>
        <v>0</v>
      </c>
      <c r="V55" s="41">
        <f t="shared" si="5"/>
        <v>0</v>
      </c>
      <c r="W55" s="41">
        <f t="shared" si="6"/>
        <v>0</v>
      </c>
      <c r="X55" s="41">
        <f t="shared" si="7"/>
        <v>0</v>
      </c>
      <c r="Y55" s="41">
        <f t="shared" si="8"/>
        <v>0</v>
      </c>
      <c r="Z55" s="41">
        <f t="shared" si="9"/>
        <v>0</v>
      </c>
    </row>
    <row r="56" spans="1:26" x14ac:dyDescent="0.25">
      <c r="A56" s="2" t="s">
        <v>41</v>
      </c>
      <c r="B56" s="87"/>
      <c r="C56" s="37"/>
      <c r="D56" s="37"/>
      <c r="E56" s="37"/>
      <c r="F56" s="37"/>
      <c r="G56" s="37"/>
      <c r="H56" s="37"/>
      <c r="I56" s="37"/>
      <c r="J56" s="37"/>
      <c r="K56" s="37"/>
      <c r="L56" s="37"/>
      <c r="M56" s="141"/>
      <c r="N56" s="43"/>
      <c r="O56" s="144">
        <v>2500</v>
      </c>
      <c r="P56" s="144">
        <v>1</v>
      </c>
      <c r="Q56" s="41">
        <f t="shared" si="0"/>
        <v>0</v>
      </c>
      <c r="R56" s="41">
        <f t="shared" si="1"/>
        <v>0</v>
      </c>
      <c r="S56" s="41">
        <f t="shared" si="2"/>
        <v>0</v>
      </c>
      <c r="T56" s="41">
        <f t="shared" si="3"/>
        <v>0</v>
      </c>
      <c r="U56" s="41">
        <f t="shared" si="4"/>
        <v>0</v>
      </c>
      <c r="V56" s="41">
        <f t="shared" si="5"/>
        <v>0</v>
      </c>
      <c r="W56" s="41">
        <f t="shared" si="6"/>
        <v>0</v>
      </c>
      <c r="X56" s="41">
        <f t="shared" si="7"/>
        <v>0</v>
      </c>
      <c r="Y56" s="41">
        <f t="shared" si="8"/>
        <v>0</v>
      </c>
      <c r="Z56" s="41">
        <f t="shared" si="9"/>
        <v>0</v>
      </c>
    </row>
    <row r="57" spans="1:26" x14ac:dyDescent="0.25">
      <c r="A57" s="39" t="s">
        <v>42</v>
      </c>
      <c r="B57" s="96" t="s">
        <v>218</v>
      </c>
      <c r="C57" s="37">
        <v>4.8500000000000001E-2</v>
      </c>
      <c r="D57" s="37">
        <v>6.1570345833333325E-2</v>
      </c>
      <c r="E57" s="37">
        <v>6.0624999999999991E-2</v>
      </c>
      <c r="F57" s="37">
        <v>7.6962932291666661E-2</v>
      </c>
      <c r="G57" s="37">
        <v>7.2749999999999995E-2</v>
      </c>
      <c r="H57" s="37">
        <v>9.235551874999999E-2</v>
      </c>
      <c r="I57" s="37">
        <v>8.4875000000000006E-2</v>
      </c>
      <c r="J57" s="37">
        <v>0.10774810520833335</v>
      </c>
      <c r="K57" s="37">
        <v>9.7000000000000003E-2</v>
      </c>
      <c r="L57" s="37">
        <v>0.12314069166666665</v>
      </c>
      <c r="M57" s="139" t="s">
        <v>130</v>
      </c>
      <c r="N57" s="43" t="s">
        <v>148</v>
      </c>
      <c r="O57" s="144">
        <v>2500</v>
      </c>
      <c r="P57" s="144">
        <v>1</v>
      </c>
      <c r="Q57" s="41">
        <f t="shared" si="0"/>
        <v>153.92586458333332</v>
      </c>
      <c r="R57" s="41">
        <f t="shared" si="1"/>
        <v>192.40733072916666</v>
      </c>
      <c r="S57" s="41">
        <f t="shared" si="2"/>
        <v>230.88879687499997</v>
      </c>
      <c r="T57" s="41">
        <f t="shared" si="3"/>
        <v>269.37026302083336</v>
      </c>
      <c r="U57" s="41">
        <f t="shared" si="4"/>
        <v>307.85172916666664</v>
      </c>
      <c r="V57" s="41">
        <f t="shared" si="5"/>
        <v>153.92586458333332</v>
      </c>
      <c r="W57" s="41">
        <f t="shared" si="6"/>
        <v>192.40733072916666</v>
      </c>
      <c r="X57" s="41">
        <f t="shared" si="7"/>
        <v>230.88879687499997</v>
      </c>
      <c r="Y57" s="41">
        <f t="shared" si="8"/>
        <v>269.37026302083336</v>
      </c>
      <c r="Z57" s="41">
        <f t="shared" si="9"/>
        <v>307.85172916666664</v>
      </c>
    </row>
    <row r="58" spans="1:26" x14ac:dyDescent="0.25">
      <c r="A58" s="93" t="s">
        <v>42</v>
      </c>
      <c r="B58" s="85" t="s">
        <v>214</v>
      </c>
      <c r="C58" s="36">
        <v>2.0911777452768961E-2</v>
      </c>
      <c r="D58" s="36">
        <v>2.6547327211478084E-2</v>
      </c>
      <c r="E58" s="36">
        <v>5.3836633176261334E-2</v>
      </c>
      <c r="F58" s="36">
        <v>6.8345157178653956E-2</v>
      </c>
      <c r="G58" s="36">
        <v>0.10661669545555842</v>
      </c>
      <c r="H58" s="36">
        <v>0.13534900640836928</v>
      </c>
      <c r="I58" s="36">
        <v>0.12438614469815149</v>
      </c>
      <c r="J58" s="36">
        <v>0.15790717414309749</v>
      </c>
      <c r="K58" s="36">
        <v>0.14215559394074456</v>
      </c>
      <c r="L58" s="36">
        <v>0.1804653418778257</v>
      </c>
      <c r="M58" s="140" t="s">
        <v>213</v>
      </c>
      <c r="N58" s="43"/>
      <c r="O58" s="144">
        <v>2500</v>
      </c>
      <c r="P58" s="144">
        <v>1</v>
      </c>
      <c r="Q58" s="41">
        <f t="shared" si="0"/>
        <v>66.368318028695214</v>
      </c>
      <c r="R58" s="41">
        <f t="shared" si="1"/>
        <v>170.8628929466349</v>
      </c>
      <c r="S58" s="41">
        <f t="shared" si="2"/>
        <v>338.37251602092317</v>
      </c>
      <c r="T58" s="41">
        <f t="shared" si="3"/>
        <v>394.76793535774374</v>
      </c>
      <c r="U58" s="41">
        <f t="shared" si="4"/>
        <v>451.16335469456425</v>
      </c>
      <c r="V58" s="41">
        <f t="shared" si="5"/>
        <v>66.368318028695214</v>
      </c>
      <c r="W58" s="41">
        <f t="shared" si="6"/>
        <v>170.8628929466349</v>
      </c>
      <c r="X58" s="41">
        <f t="shared" si="7"/>
        <v>338.37251602092317</v>
      </c>
      <c r="Y58" s="41">
        <f t="shared" si="8"/>
        <v>394.76793535774374</v>
      </c>
      <c r="Z58" s="41">
        <f t="shared" si="9"/>
        <v>451.16335469456425</v>
      </c>
    </row>
    <row r="59" spans="1:26" x14ac:dyDescent="0.25">
      <c r="A59" s="38" t="s">
        <v>43</v>
      </c>
      <c r="B59" s="88" t="s">
        <v>243</v>
      </c>
      <c r="C59" s="36"/>
      <c r="D59" s="36">
        <v>0</v>
      </c>
      <c r="E59" s="36"/>
      <c r="F59" s="36">
        <v>5.7257669413919412E-3</v>
      </c>
      <c r="G59" s="36"/>
      <c r="H59" s="36">
        <v>1.6673433333333335E-2</v>
      </c>
      <c r="I59" s="36"/>
      <c r="J59" s="36">
        <v>3.6539242599000384E-2</v>
      </c>
      <c r="K59" s="36"/>
      <c r="L59" s="36">
        <v>7.085028328611899E-2</v>
      </c>
      <c r="M59" s="140"/>
      <c r="N59" s="43"/>
      <c r="O59" s="144">
        <v>2500</v>
      </c>
      <c r="P59" s="144">
        <v>1</v>
      </c>
      <c r="Q59" s="41">
        <f t="shared" si="0"/>
        <v>0</v>
      </c>
      <c r="R59" s="41">
        <f t="shared" si="1"/>
        <v>14.314417353479852</v>
      </c>
      <c r="S59" s="41">
        <f t="shared" si="2"/>
        <v>41.683583333333338</v>
      </c>
      <c r="T59" s="41">
        <f t="shared" si="3"/>
        <v>91.348106497500964</v>
      </c>
      <c r="U59" s="41">
        <f t="shared" si="4"/>
        <v>177.12570821529746</v>
      </c>
      <c r="V59" s="41">
        <f t="shared" si="5"/>
        <v>0</v>
      </c>
      <c r="W59" s="41">
        <f t="shared" si="6"/>
        <v>14.314417353479852</v>
      </c>
      <c r="X59" s="41">
        <f t="shared" si="7"/>
        <v>41.683583333333338</v>
      </c>
      <c r="Y59" s="41">
        <f t="shared" si="8"/>
        <v>91.348106497500964</v>
      </c>
      <c r="Z59" s="41">
        <f t="shared" si="9"/>
        <v>177.12570821529746</v>
      </c>
    </row>
    <row r="60" spans="1:26" x14ac:dyDescent="0.25">
      <c r="A60" s="39" t="s">
        <v>43</v>
      </c>
      <c r="B60" s="96" t="s">
        <v>218</v>
      </c>
      <c r="C60" s="37">
        <v>3.8799999999999994E-2</v>
      </c>
      <c r="D60" s="37">
        <v>6.4692921333333334E-2</v>
      </c>
      <c r="E60" s="37">
        <v>4.8500000000000001E-2</v>
      </c>
      <c r="F60" s="37">
        <v>8.086615166666665E-2</v>
      </c>
      <c r="G60" s="37">
        <v>5.8199999999999995E-2</v>
      </c>
      <c r="H60" s="37">
        <v>9.7039382000000007E-2</v>
      </c>
      <c r="I60" s="37">
        <v>6.7899999999999988E-2</v>
      </c>
      <c r="J60" s="37">
        <v>0.11321261233333332</v>
      </c>
      <c r="K60" s="37">
        <v>0.12938584266666667</v>
      </c>
      <c r="L60" s="37">
        <v>7.7599999999999988E-2</v>
      </c>
      <c r="M60" s="139" t="s">
        <v>130</v>
      </c>
      <c r="N60" s="43" t="s">
        <v>131</v>
      </c>
      <c r="O60" s="144">
        <v>2500</v>
      </c>
      <c r="P60" s="144">
        <v>1</v>
      </c>
      <c r="Q60" s="41">
        <f t="shared" si="0"/>
        <v>161.73230333333333</v>
      </c>
      <c r="R60" s="41">
        <f t="shared" si="1"/>
        <v>202.16537916666661</v>
      </c>
      <c r="S60" s="41">
        <f t="shared" si="2"/>
        <v>242.59845500000003</v>
      </c>
      <c r="T60" s="41">
        <f t="shared" si="3"/>
        <v>283.03153083333331</v>
      </c>
      <c r="U60" s="41">
        <f t="shared" si="4"/>
        <v>193.99999999999997</v>
      </c>
      <c r="V60" s="41">
        <f t="shared" si="5"/>
        <v>161.73230333333333</v>
      </c>
      <c r="W60" s="41">
        <f t="shared" si="6"/>
        <v>202.16537916666661</v>
      </c>
      <c r="X60" s="41">
        <f t="shared" si="7"/>
        <v>242.59845500000003</v>
      </c>
      <c r="Y60" s="41">
        <f t="shared" si="8"/>
        <v>283.03153083333331</v>
      </c>
      <c r="Z60" s="41">
        <f t="shared" si="9"/>
        <v>193.99999999999997</v>
      </c>
    </row>
    <row r="61" spans="1:26" x14ac:dyDescent="0.25">
      <c r="A61" s="93" t="s">
        <v>43</v>
      </c>
      <c r="B61" s="85" t="s">
        <v>214</v>
      </c>
      <c r="C61" s="36">
        <v>1.8469139953884307E-2</v>
      </c>
      <c r="D61" s="36">
        <v>3.079439737450931E-2</v>
      </c>
      <c r="E61" s="36">
        <v>2.3086424942355382E-2</v>
      </c>
      <c r="F61" s="36">
        <v>3.8492996718136628E-2</v>
      </c>
      <c r="G61" s="36">
        <v>4.9293523056054722E-2</v>
      </c>
      <c r="H61" s="36">
        <v>8.21892270440258E-2</v>
      </c>
      <c r="I61" s="36">
        <v>4.4133364500346293E-2</v>
      </c>
      <c r="J61" s="36">
        <v>7.3585471077222395E-2</v>
      </c>
      <c r="K61" s="36">
        <v>9.4288643108610765E-2</v>
      </c>
      <c r="L61" s="36">
        <v>0.15721154049618813</v>
      </c>
      <c r="M61" s="140" t="s">
        <v>213</v>
      </c>
      <c r="N61" s="43"/>
      <c r="O61" s="144">
        <v>2500</v>
      </c>
      <c r="P61" s="144">
        <v>1</v>
      </c>
      <c r="Q61" s="41">
        <f t="shared" si="0"/>
        <v>76.985993436273276</v>
      </c>
      <c r="R61" s="41">
        <f t="shared" si="1"/>
        <v>96.232491795341573</v>
      </c>
      <c r="S61" s="41">
        <f t="shared" si="2"/>
        <v>205.4730676100645</v>
      </c>
      <c r="T61" s="41">
        <f t="shared" si="3"/>
        <v>183.96367769305598</v>
      </c>
      <c r="U61" s="41">
        <f t="shared" si="4"/>
        <v>393.02885124047032</v>
      </c>
      <c r="V61" s="41">
        <f t="shared" si="5"/>
        <v>76.985993436273276</v>
      </c>
      <c r="W61" s="41">
        <f t="shared" si="6"/>
        <v>96.232491795341573</v>
      </c>
      <c r="X61" s="41">
        <f t="shared" si="7"/>
        <v>205.4730676100645</v>
      </c>
      <c r="Y61" s="41">
        <f t="shared" si="8"/>
        <v>183.96367769305598</v>
      </c>
      <c r="Z61" s="41">
        <f t="shared" si="9"/>
        <v>393.02885124047032</v>
      </c>
    </row>
    <row r="62" spans="1:26" x14ac:dyDescent="0.25">
      <c r="A62" s="136" t="s">
        <v>43</v>
      </c>
      <c r="B62" s="135"/>
      <c r="C62" s="36"/>
      <c r="D62" s="36">
        <v>2.0321507946666668E-2</v>
      </c>
      <c r="E62" s="36"/>
      <c r="F62" s="36">
        <v>2.666379298E-2</v>
      </c>
      <c r="G62" s="36"/>
      <c r="H62" s="36">
        <v>4.0266540526666651E-2</v>
      </c>
      <c r="I62" s="36"/>
      <c r="J62" s="36">
        <v>6.1635670506666677E-2</v>
      </c>
      <c r="K62" s="36"/>
      <c r="L62" s="36">
        <v>9.3176129566666682E-2</v>
      </c>
      <c r="M62" s="142" t="s">
        <v>85</v>
      </c>
      <c r="N62" s="43"/>
      <c r="O62" s="144">
        <v>2500</v>
      </c>
      <c r="P62" s="144">
        <v>1</v>
      </c>
      <c r="Q62" s="41">
        <f t="shared" si="0"/>
        <v>50.80376986666667</v>
      </c>
      <c r="R62" s="41">
        <f t="shared" si="1"/>
        <v>66.659482449999999</v>
      </c>
      <c r="S62" s="41">
        <f t="shared" si="2"/>
        <v>100.66635131666663</v>
      </c>
      <c r="T62" s="41">
        <f t="shared" si="3"/>
        <v>154.0891762666667</v>
      </c>
      <c r="U62" s="41">
        <f t="shared" si="4"/>
        <v>232.9403239166667</v>
      </c>
      <c r="V62" s="41">
        <f t="shared" si="5"/>
        <v>50.80376986666667</v>
      </c>
      <c r="W62" s="41">
        <f t="shared" si="6"/>
        <v>66.659482449999999</v>
      </c>
      <c r="X62" s="41">
        <f t="shared" si="7"/>
        <v>100.66635131666663</v>
      </c>
      <c r="Y62" s="41">
        <f t="shared" si="8"/>
        <v>154.0891762666667</v>
      </c>
      <c r="Z62" s="41">
        <f t="shared" si="9"/>
        <v>232.9403239166667</v>
      </c>
    </row>
    <row r="63" spans="1:26" x14ac:dyDescent="0.25">
      <c r="A63" s="190" t="s">
        <v>44</v>
      </c>
      <c r="B63" s="88" t="s">
        <v>94</v>
      </c>
      <c r="C63" s="37">
        <f>'Alt_diám tablas producc'!E54</f>
        <v>3.4157697129970299E-2</v>
      </c>
      <c r="D63" s="37">
        <f>'Total especies y métodos'!D62</f>
        <v>3.4157697129970299E-2</v>
      </c>
      <c r="E63" s="37">
        <f>'Total especies y métodos'!E62</f>
        <v>6.6000000000000003E-2</v>
      </c>
      <c r="F63" s="37">
        <f>'Total especies y métodos'!F62</f>
        <v>4.2697121412462874E-2</v>
      </c>
      <c r="G63" s="37">
        <f>'Total especies y métodos'!G62</f>
        <v>7.8790697674418611E-2</v>
      </c>
      <c r="H63" s="37">
        <f>'Total especies y métodos'!H62</f>
        <v>5.1236545694955449E-2</v>
      </c>
      <c r="I63" s="37">
        <f>'Total especies y métodos'!I62</f>
        <v>0.106</v>
      </c>
      <c r="J63" s="37">
        <f>'Total especies y métodos'!J62</f>
        <v>0.10884537979242993</v>
      </c>
      <c r="K63" s="37">
        <f>'Total especies y métodos'!K62</f>
        <v>0.18160469667318982</v>
      </c>
      <c r="L63" s="37">
        <f>'Total especies y métodos'!L62</f>
        <v>0.12636076078387784</v>
      </c>
      <c r="M63" s="28" t="s">
        <v>81</v>
      </c>
      <c r="N63" s="43" t="s">
        <v>121</v>
      </c>
      <c r="O63" s="144">
        <v>2500</v>
      </c>
      <c r="P63" s="144">
        <v>1</v>
      </c>
      <c r="Q63" s="41">
        <f t="shared" si="0"/>
        <v>85.394242824925755</v>
      </c>
      <c r="R63" s="41">
        <f t="shared" si="1"/>
        <v>106.74280353115718</v>
      </c>
      <c r="S63" s="41">
        <f t="shared" si="2"/>
        <v>128.09136423738863</v>
      </c>
      <c r="T63" s="41">
        <f t="shared" si="3"/>
        <v>272.11344948107484</v>
      </c>
      <c r="U63" s="41">
        <f t="shared" si="4"/>
        <v>315.90190195969461</v>
      </c>
      <c r="V63" s="41">
        <f t="shared" si="5"/>
        <v>85.394242824925755</v>
      </c>
      <c r="W63" s="41">
        <f t="shared" si="6"/>
        <v>106.74280353115718</v>
      </c>
      <c r="X63" s="41">
        <f t="shared" si="7"/>
        <v>128.09136423738863</v>
      </c>
      <c r="Y63" s="41">
        <f t="shared" si="8"/>
        <v>272.11344948107484</v>
      </c>
      <c r="Z63" s="41">
        <f t="shared" si="9"/>
        <v>315.90190195969461</v>
      </c>
    </row>
    <row r="64" spans="1:26" x14ac:dyDescent="0.25">
      <c r="A64" s="39" t="s">
        <v>44</v>
      </c>
      <c r="B64" s="96" t="s">
        <v>218</v>
      </c>
      <c r="C64" s="36">
        <v>4.3999999999999997E-2</v>
      </c>
      <c r="D64" s="36">
        <v>6.4017066666666664E-2</v>
      </c>
      <c r="E64" s="36">
        <v>5.5000000000000007E-2</v>
      </c>
      <c r="F64" s="36">
        <v>8.0021333333333347E-2</v>
      </c>
      <c r="G64" s="36">
        <v>6.6000000000000003E-2</v>
      </c>
      <c r="H64" s="36">
        <v>9.6025599999999989E-2</v>
      </c>
      <c r="I64" s="36">
        <v>7.6999999999999999E-2</v>
      </c>
      <c r="J64" s="36">
        <v>0.11202986666666667</v>
      </c>
      <c r="K64" s="37">
        <v>8.7999999999999995E-2</v>
      </c>
      <c r="L64" s="36">
        <v>0.12803413333333333</v>
      </c>
      <c r="M64" s="139" t="s">
        <v>130</v>
      </c>
      <c r="N64" s="43" t="s">
        <v>131</v>
      </c>
      <c r="O64" s="144">
        <v>2500</v>
      </c>
      <c r="P64" s="144">
        <v>1</v>
      </c>
      <c r="Q64" s="41">
        <f t="shared" si="0"/>
        <v>160.04266666666666</v>
      </c>
      <c r="R64" s="41">
        <f t="shared" si="1"/>
        <v>200.05333333333337</v>
      </c>
      <c r="S64" s="41">
        <f t="shared" si="2"/>
        <v>240.06399999999996</v>
      </c>
      <c r="T64" s="41">
        <f t="shared" si="3"/>
        <v>280.0746666666667</v>
      </c>
      <c r="U64" s="41">
        <f t="shared" si="4"/>
        <v>320.08533333333332</v>
      </c>
      <c r="V64" s="41">
        <f t="shared" si="5"/>
        <v>160.04266666666666</v>
      </c>
      <c r="W64" s="41">
        <f t="shared" si="6"/>
        <v>200.05333333333337</v>
      </c>
      <c r="X64" s="41">
        <f t="shared" si="7"/>
        <v>240.06399999999996</v>
      </c>
      <c r="Y64" s="41">
        <f t="shared" si="8"/>
        <v>280.0746666666667</v>
      </c>
      <c r="Z64" s="41">
        <f t="shared" si="9"/>
        <v>320.08533333333332</v>
      </c>
    </row>
    <row r="65" spans="1:26" x14ac:dyDescent="0.25">
      <c r="A65" s="93" t="s">
        <v>44</v>
      </c>
      <c r="B65" s="85" t="s">
        <v>214</v>
      </c>
      <c r="C65" s="36">
        <v>1.7920503247184628E-2</v>
      </c>
      <c r="D65" s="36">
        <v>2.6073137524437157E-2</v>
      </c>
      <c r="E65" s="36">
        <v>2.2400629058980784E-2</v>
      </c>
      <c r="F65" s="36">
        <v>3.2591421905546439E-2</v>
      </c>
      <c r="G65" s="36">
        <v>5.4433981189938044E-2</v>
      </c>
      <c r="H65" s="36">
        <v>7.9197813699280514E-2</v>
      </c>
      <c r="I65" s="36">
        <v>6.3506311388261058E-2</v>
      </c>
      <c r="J65" s="36">
        <v>9.2397449315827287E-2</v>
      </c>
      <c r="K65" s="36">
        <v>7.2578641586584058E-2</v>
      </c>
      <c r="L65" s="36">
        <v>0.10559708493237403</v>
      </c>
      <c r="M65" s="140" t="s">
        <v>213</v>
      </c>
      <c r="N65" s="43"/>
      <c r="O65" s="144">
        <v>2500</v>
      </c>
      <c r="P65" s="144">
        <v>1</v>
      </c>
      <c r="Q65" s="41">
        <f t="shared" si="0"/>
        <v>65.182843811092894</v>
      </c>
      <c r="R65" s="41">
        <f t="shared" si="1"/>
        <v>81.4785547638661</v>
      </c>
      <c r="S65" s="41">
        <f t="shared" si="2"/>
        <v>197.99453424820129</v>
      </c>
      <c r="T65" s="41">
        <f t="shared" si="3"/>
        <v>230.99362328956821</v>
      </c>
      <c r="U65" s="41">
        <f t="shared" si="4"/>
        <v>263.99271233093509</v>
      </c>
      <c r="V65" s="41">
        <f t="shared" si="5"/>
        <v>65.182843811092894</v>
      </c>
      <c r="W65" s="41">
        <f t="shared" si="6"/>
        <v>81.4785547638661</v>
      </c>
      <c r="X65" s="41">
        <f t="shared" si="7"/>
        <v>197.99453424820129</v>
      </c>
      <c r="Y65" s="41">
        <f t="shared" si="8"/>
        <v>230.99362328956821</v>
      </c>
      <c r="Z65" s="41">
        <f t="shared" si="9"/>
        <v>263.99271233093509</v>
      </c>
    </row>
    <row r="66" spans="1:26" x14ac:dyDescent="0.25">
      <c r="A66" s="136" t="s">
        <v>44</v>
      </c>
      <c r="B66" s="135"/>
      <c r="C66" s="36"/>
      <c r="D66" s="36">
        <v>0.18382044761299327</v>
      </c>
      <c r="E66" s="36"/>
      <c r="F66" s="36">
        <v>0.34826063882451141</v>
      </c>
      <c r="G66" s="36"/>
      <c r="H66" s="36">
        <v>0.57646899987068079</v>
      </c>
      <c r="I66" s="36"/>
      <c r="J66" s="36">
        <v>0.87455170971595497</v>
      </c>
      <c r="K66" s="36"/>
      <c r="L66" s="36">
        <v>1.2168313571830238</v>
      </c>
      <c r="M66" s="142" t="s">
        <v>85</v>
      </c>
      <c r="N66" s="43"/>
      <c r="O66" s="144">
        <v>2500</v>
      </c>
      <c r="P66" s="144">
        <v>1</v>
      </c>
      <c r="Q66" s="41">
        <f t="shared" si="0"/>
        <v>459.55111903248314</v>
      </c>
      <c r="R66" s="41">
        <f t="shared" si="1"/>
        <v>870.65159706127849</v>
      </c>
      <c r="S66" s="41">
        <f t="shared" si="2"/>
        <v>1441.172499676702</v>
      </c>
      <c r="T66" s="41">
        <f t="shared" si="3"/>
        <v>2186.3792742898872</v>
      </c>
      <c r="U66" s="41">
        <f t="shared" si="4"/>
        <v>3042.0783929575596</v>
      </c>
      <c r="V66" s="41">
        <f t="shared" si="5"/>
        <v>459.55111903248314</v>
      </c>
      <c r="W66" s="41">
        <f t="shared" si="6"/>
        <v>870.65159706127849</v>
      </c>
      <c r="X66" s="41">
        <f t="shared" si="7"/>
        <v>1441.172499676702</v>
      </c>
      <c r="Y66" s="41">
        <f t="shared" si="8"/>
        <v>2186.3792742898872</v>
      </c>
      <c r="Z66" s="41">
        <f t="shared" si="9"/>
        <v>3042.0783929575596</v>
      </c>
    </row>
    <row r="67" spans="1:26" x14ac:dyDescent="0.25">
      <c r="A67" s="506" t="s">
        <v>150</v>
      </c>
      <c r="B67" s="88" t="s">
        <v>153</v>
      </c>
      <c r="C67" s="37">
        <v>0.23955555555555555</v>
      </c>
      <c r="D67" s="37">
        <f>'Total especies y métodos'!D66</f>
        <v>0.2327115308614556</v>
      </c>
      <c r="E67" s="37">
        <f>'Total especies y métodos'!E66</f>
        <v>0.42199999999999999</v>
      </c>
      <c r="F67" s="37">
        <f>'Total especies y métodos'!F66</f>
        <v>0.40856203182870365</v>
      </c>
      <c r="G67" s="37">
        <f>'Total especies y métodos'!G66</f>
        <v>0.78600000000000003</v>
      </c>
      <c r="H67" s="37">
        <f>'Total especies y métodos'!H66</f>
        <v>0.58249493630952376</v>
      </c>
      <c r="I67" s="37">
        <f>'Total especies y métodos'!I66</f>
        <v>0.86799999999999999</v>
      </c>
      <c r="J67" s="37">
        <f>'Total especies y métodos'!J66</f>
        <v>0.74304199720492636</v>
      </c>
      <c r="K67" s="37">
        <f>'Total especies y métodos'!K66</f>
        <v>1.3740000000000001</v>
      </c>
      <c r="L67" s="37">
        <f>'Total especies y métodos'!L66</f>
        <v>0.91206257563956428</v>
      </c>
      <c r="M67" s="28" t="s">
        <v>81</v>
      </c>
      <c r="N67" s="43" t="s">
        <v>125</v>
      </c>
      <c r="O67" s="144">
        <v>2500</v>
      </c>
      <c r="P67" s="144">
        <v>1</v>
      </c>
      <c r="Q67" s="41">
        <f t="shared" si="0"/>
        <v>581.77882715363899</v>
      </c>
      <c r="R67" s="41">
        <f t="shared" si="1"/>
        <v>1021.4050795717592</v>
      </c>
      <c r="S67" s="41">
        <f t="shared" si="2"/>
        <v>1456.2373407738094</v>
      </c>
      <c r="T67" s="41">
        <f t="shared" si="3"/>
        <v>1857.6049930123158</v>
      </c>
      <c r="U67" s="41">
        <f t="shared" si="4"/>
        <v>2280.1564390989106</v>
      </c>
      <c r="V67" s="41">
        <f t="shared" si="5"/>
        <v>581.77882715363899</v>
      </c>
      <c r="W67" s="41">
        <f t="shared" si="6"/>
        <v>1021.4050795717592</v>
      </c>
      <c r="X67" s="41">
        <f t="shared" si="7"/>
        <v>1456.2373407738094</v>
      </c>
      <c r="Y67" s="41">
        <f t="shared" si="8"/>
        <v>1857.6049930123158</v>
      </c>
      <c r="Z67" s="41">
        <f t="shared" si="9"/>
        <v>2280.1564390989106</v>
      </c>
    </row>
    <row r="68" spans="1:26" x14ac:dyDescent="0.25">
      <c r="A68" s="513"/>
      <c r="B68" s="88" t="s">
        <v>154</v>
      </c>
      <c r="C68" s="37">
        <v>0.35216666666666668</v>
      </c>
      <c r="D68" s="37">
        <f>'Total especies y métodos'!D67</f>
        <v>0.32827964901620366</v>
      </c>
      <c r="E68" s="37">
        <f>'Total especies y métodos'!E67</f>
        <v>1.4219999999999999</v>
      </c>
      <c r="F68" s="37">
        <f>'Total especies y métodos'!F67</f>
        <v>0.53815745067959075</v>
      </c>
      <c r="G68" s="37">
        <f>'Total especies y métodos'!G67</f>
        <v>1.786</v>
      </c>
      <c r="H68" s="37">
        <f>'Total especies y métodos'!H67</f>
        <v>0.69121584652967782</v>
      </c>
      <c r="I68" s="37">
        <f>'Total especies y métodos'!I67</f>
        <v>1.8680000000000001</v>
      </c>
      <c r="J68" s="37">
        <f>'Total especies y métodos'!J67</f>
        <v>0.80641848761795754</v>
      </c>
      <c r="K68" s="37">
        <f>'Total especies y métodos'!K67</f>
        <v>2.3740000000000001</v>
      </c>
      <c r="L68" s="37">
        <f>'Total especies y métodos'!L67</f>
        <v>0.92162112870623725</v>
      </c>
      <c r="M68" s="28" t="s">
        <v>81</v>
      </c>
      <c r="N68" s="43" t="s">
        <v>126</v>
      </c>
      <c r="O68" s="144">
        <v>2500</v>
      </c>
      <c r="P68" s="144">
        <v>1</v>
      </c>
      <c r="Q68" s="41">
        <f t="shared" ref="Q68:Q124" si="10">D68*O68</f>
        <v>820.69912254050917</v>
      </c>
      <c r="R68" s="41">
        <f t="shared" ref="R68:R124" si="11">F68*O68</f>
        <v>1345.393626698977</v>
      </c>
      <c r="S68" s="41">
        <f t="shared" ref="S68:S124" si="12">H68*O68</f>
        <v>1728.0396163241946</v>
      </c>
      <c r="T68" s="41">
        <f t="shared" ref="T68:T124" si="13">J68*O68</f>
        <v>2016.0462190448939</v>
      </c>
      <c r="U68" s="41">
        <f t="shared" ref="U68:U124" si="14">L68*O68</f>
        <v>2304.0528217655933</v>
      </c>
      <c r="V68" s="41">
        <f t="shared" ref="V68:V124" si="15">Q68/P68</f>
        <v>820.69912254050917</v>
      </c>
      <c r="W68" s="41">
        <f t="shared" ref="W68:W124" si="16">R68/P68</f>
        <v>1345.393626698977</v>
      </c>
      <c r="X68" s="41">
        <f t="shared" ref="X68:X124" si="17">S68/P68</f>
        <v>1728.0396163241946</v>
      </c>
      <c r="Y68" s="41">
        <f t="shared" ref="Y68:Y124" si="18">T68/P68</f>
        <v>2016.0462190448939</v>
      </c>
      <c r="Z68" s="41">
        <f t="shared" ref="Z68:Z124" si="19">U68/P68</f>
        <v>2304.0528217655933</v>
      </c>
    </row>
    <row r="69" spans="1:26" s="4" customFormat="1" x14ac:dyDescent="0.25">
      <c r="A69" s="40" t="s">
        <v>45</v>
      </c>
      <c r="B69" s="96" t="s">
        <v>218</v>
      </c>
      <c r="C69" s="36">
        <v>0.109</v>
      </c>
      <c r="D69" s="36">
        <v>0.14123220833333333</v>
      </c>
      <c r="E69" s="36">
        <v>0.221</v>
      </c>
      <c r="F69" s="36">
        <v>0.28635154166666665</v>
      </c>
      <c r="G69" s="36">
        <v>0.379</v>
      </c>
      <c r="H69" s="36">
        <v>0.49107345833333343</v>
      </c>
      <c r="I69" s="36">
        <v>0.56899999999999995</v>
      </c>
      <c r="J69" s="36">
        <v>0.73725804166666664</v>
      </c>
      <c r="K69" s="37">
        <v>0.79900000000000004</v>
      </c>
      <c r="L69" s="36">
        <v>1.0352709583333333</v>
      </c>
      <c r="M69" s="139" t="s">
        <v>130</v>
      </c>
      <c r="N69" s="43"/>
      <c r="O69" s="144">
        <v>2500</v>
      </c>
      <c r="P69" s="144">
        <v>1</v>
      </c>
      <c r="Q69" s="41">
        <f t="shared" si="10"/>
        <v>353.08052083333331</v>
      </c>
      <c r="R69" s="41">
        <f t="shared" si="11"/>
        <v>715.87885416666666</v>
      </c>
      <c r="S69" s="41">
        <f t="shared" si="12"/>
        <v>1227.6836458333337</v>
      </c>
      <c r="T69" s="41">
        <f t="shared" si="13"/>
        <v>1843.1451041666667</v>
      </c>
      <c r="U69" s="41">
        <f t="shared" si="14"/>
        <v>2588.1773958333333</v>
      </c>
      <c r="V69" s="41">
        <f t="shared" si="15"/>
        <v>353.08052083333331</v>
      </c>
      <c r="W69" s="41">
        <f t="shared" si="16"/>
        <v>715.87885416666666</v>
      </c>
      <c r="X69" s="41">
        <f t="shared" si="17"/>
        <v>1227.6836458333337</v>
      </c>
      <c r="Y69" s="41">
        <f t="shared" si="18"/>
        <v>1843.1451041666667</v>
      </c>
      <c r="Z69" s="41">
        <f t="shared" si="19"/>
        <v>2588.1773958333333</v>
      </c>
    </row>
    <row r="70" spans="1:26" x14ac:dyDescent="0.25">
      <c r="A70" s="38" t="s">
        <v>308</v>
      </c>
      <c r="B70" s="88" t="s">
        <v>155</v>
      </c>
      <c r="C70" s="143">
        <v>4.0599999999999997E-2</v>
      </c>
      <c r="D70" s="143">
        <f>'Total especies y métodos'!D69</f>
        <v>0.11982849020241199</v>
      </c>
      <c r="E70" s="143">
        <f>'Total especies y métodos'!E69</f>
        <v>0.124475</v>
      </c>
      <c r="F70" s="143">
        <f>'Total especies y métodos'!F69</f>
        <v>0.14978561275301497</v>
      </c>
      <c r="G70" s="143">
        <f>'Total especies y métodos'!G69</f>
        <v>0.1981859410430839</v>
      </c>
      <c r="H70" s="143">
        <f>'Total especies y métodos'!H69</f>
        <v>0.17974273530361798</v>
      </c>
      <c r="I70" s="143">
        <f>'Total especies y métodos'!I69</f>
        <v>0.340225</v>
      </c>
      <c r="J70" s="143">
        <f>'Total especies y métodos'!J69</f>
        <v>0.26196202857543643</v>
      </c>
      <c r="K70" s="143">
        <f>'Total especies y métodos'!K69</f>
        <v>0.39999999999999997</v>
      </c>
      <c r="L70" s="143">
        <f>'Total especies y métodos'!L69</f>
        <v>0.35801687535521448</v>
      </c>
      <c r="M70" s="28" t="s">
        <v>81</v>
      </c>
      <c r="N70" s="43" t="s">
        <v>127</v>
      </c>
      <c r="O70" s="144">
        <v>2500</v>
      </c>
      <c r="P70" s="144">
        <v>1</v>
      </c>
      <c r="Q70" s="41">
        <f t="shared" si="10"/>
        <v>299.57122550602998</v>
      </c>
      <c r="R70" s="41">
        <f t="shared" si="11"/>
        <v>374.46403188253743</v>
      </c>
      <c r="S70" s="41">
        <f t="shared" si="12"/>
        <v>449.35683825904493</v>
      </c>
      <c r="T70" s="41">
        <f t="shared" si="13"/>
        <v>654.90507143859111</v>
      </c>
      <c r="U70" s="41">
        <f t="shared" si="14"/>
        <v>895.04218838803615</v>
      </c>
      <c r="V70" s="41">
        <f t="shared" si="15"/>
        <v>299.57122550602998</v>
      </c>
      <c r="W70" s="41">
        <f t="shared" si="16"/>
        <v>374.46403188253743</v>
      </c>
      <c r="X70" s="41">
        <f t="shared" si="17"/>
        <v>449.35683825904493</v>
      </c>
      <c r="Y70" s="41">
        <f t="shared" si="18"/>
        <v>654.90507143859111</v>
      </c>
      <c r="Z70" s="41">
        <f t="shared" si="19"/>
        <v>895.04218838803615</v>
      </c>
    </row>
    <row r="71" spans="1:26" s="4" customFormat="1" x14ac:dyDescent="0.25">
      <c r="A71" s="39" t="s">
        <v>149</v>
      </c>
      <c r="B71" s="89"/>
      <c r="C71" s="36">
        <v>6.0666666666666667E-2</v>
      </c>
      <c r="D71" s="36">
        <v>7.8606305555555561E-2</v>
      </c>
      <c r="E71" s="36">
        <v>7.5833333333333322E-2</v>
      </c>
      <c r="F71" s="36">
        <v>9.8257881944444431E-2</v>
      </c>
      <c r="G71" s="36">
        <v>9.0999999999999998E-2</v>
      </c>
      <c r="H71" s="36">
        <v>0.11790945833333333</v>
      </c>
      <c r="I71" s="36">
        <v>0.15225</v>
      </c>
      <c r="J71" s="36">
        <v>0.19727159375</v>
      </c>
      <c r="K71" s="37">
        <v>0.17399999999999999</v>
      </c>
      <c r="L71" s="36">
        <v>0.22545325000000002</v>
      </c>
      <c r="M71" s="139" t="s">
        <v>130</v>
      </c>
      <c r="N71" s="43" t="s">
        <v>127</v>
      </c>
      <c r="O71" s="144">
        <v>2500</v>
      </c>
      <c r="P71" s="144">
        <v>1</v>
      </c>
      <c r="Q71" s="41">
        <f t="shared" si="10"/>
        <v>196.5157638888889</v>
      </c>
      <c r="R71" s="41">
        <f t="shared" si="11"/>
        <v>245.64470486111108</v>
      </c>
      <c r="S71" s="41">
        <f t="shared" si="12"/>
        <v>294.77364583333332</v>
      </c>
      <c r="T71" s="41">
        <f t="shared" si="13"/>
        <v>493.17898437500003</v>
      </c>
      <c r="U71" s="41">
        <f t="shared" si="14"/>
        <v>563.63312500000006</v>
      </c>
      <c r="V71" s="41">
        <f t="shared" si="15"/>
        <v>196.5157638888889</v>
      </c>
      <c r="W71" s="41">
        <f t="shared" si="16"/>
        <v>245.64470486111108</v>
      </c>
      <c r="X71" s="41">
        <f t="shared" si="17"/>
        <v>294.77364583333332</v>
      </c>
      <c r="Y71" s="41">
        <f t="shared" si="18"/>
        <v>493.17898437500003</v>
      </c>
      <c r="Z71" s="41">
        <f t="shared" si="19"/>
        <v>563.63312500000006</v>
      </c>
    </row>
    <row r="72" spans="1:26" x14ac:dyDescent="0.25">
      <c r="A72" s="93" t="s">
        <v>215</v>
      </c>
      <c r="B72" s="85" t="s">
        <v>214</v>
      </c>
      <c r="C72" s="36">
        <v>1.7414482645901213E-2</v>
      </c>
      <c r="D72" s="36">
        <v>2.2564090284982921E-2</v>
      </c>
      <c r="E72" s="36">
        <v>2.1768103307376517E-2</v>
      </c>
      <c r="F72" s="36">
        <v>2.8205112856228648E-2</v>
      </c>
      <c r="G72" s="36">
        <v>2.6121723968851821E-2</v>
      </c>
      <c r="H72" s="36">
        <v>3.3846135427474382E-2</v>
      </c>
      <c r="I72" s="36">
        <v>6.1389279326479446E-2</v>
      </c>
      <c r="J72" s="36">
        <v>7.9542600800647137E-2</v>
      </c>
      <c r="K72" s="36">
        <v>7.0159176373119372E-2</v>
      </c>
      <c r="L72" s="36">
        <v>9.0905829486453871E-2</v>
      </c>
      <c r="M72" s="140" t="s">
        <v>213</v>
      </c>
      <c r="N72" s="43"/>
      <c r="O72" s="144">
        <v>2500</v>
      </c>
      <c r="P72" s="144">
        <v>1</v>
      </c>
      <c r="Q72" s="41">
        <f t="shared" si="10"/>
        <v>56.410225712457304</v>
      </c>
      <c r="R72" s="41">
        <f t="shared" si="11"/>
        <v>70.512782140571616</v>
      </c>
      <c r="S72" s="41">
        <f t="shared" si="12"/>
        <v>84.615338568685956</v>
      </c>
      <c r="T72" s="41">
        <f t="shared" si="13"/>
        <v>198.85650200161786</v>
      </c>
      <c r="U72" s="41">
        <f t="shared" si="14"/>
        <v>227.26457371613466</v>
      </c>
      <c r="V72" s="41">
        <f t="shared" si="15"/>
        <v>56.410225712457304</v>
      </c>
      <c r="W72" s="41">
        <f t="shared" si="16"/>
        <v>70.512782140571616</v>
      </c>
      <c r="X72" s="41">
        <f t="shared" si="17"/>
        <v>84.615338568685956</v>
      </c>
      <c r="Y72" s="41">
        <f t="shared" si="18"/>
        <v>198.85650200161786</v>
      </c>
      <c r="Z72" s="41">
        <f t="shared" si="19"/>
        <v>227.26457371613466</v>
      </c>
    </row>
    <row r="73" spans="1:26" x14ac:dyDescent="0.25">
      <c r="A73" s="136" t="s">
        <v>215</v>
      </c>
      <c r="B73" s="135"/>
      <c r="C73" s="36"/>
      <c r="D73" s="36">
        <v>7.332910309194092E-2</v>
      </c>
      <c r="E73" s="36"/>
      <c r="F73" s="36">
        <v>0.13408913811397005</v>
      </c>
      <c r="G73" s="36"/>
      <c r="H73" s="36">
        <v>0.2198004832699853</v>
      </c>
      <c r="I73" s="36"/>
      <c r="J73" s="36">
        <v>0.334057288896078</v>
      </c>
      <c r="K73" s="36"/>
      <c r="L73" s="36">
        <v>0.42209200204030534</v>
      </c>
      <c r="M73" s="142" t="s">
        <v>85</v>
      </c>
      <c r="N73" s="43"/>
      <c r="O73" s="144">
        <v>2500</v>
      </c>
      <c r="P73" s="144">
        <v>1</v>
      </c>
      <c r="Q73" s="41">
        <f t="shared" si="10"/>
        <v>183.3227577298523</v>
      </c>
      <c r="R73" s="41">
        <f t="shared" si="11"/>
        <v>335.22284528492514</v>
      </c>
      <c r="S73" s="41">
        <f t="shared" si="12"/>
        <v>549.50120817496327</v>
      </c>
      <c r="T73" s="41">
        <f t="shared" si="13"/>
        <v>835.14322224019497</v>
      </c>
      <c r="U73" s="41">
        <f t="shared" si="14"/>
        <v>1055.2300051007633</v>
      </c>
      <c r="V73" s="41">
        <f t="shared" si="15"/>
        <v>183.3227577298523</v>
      </c>
      <c r="W73" s="41">
        <f t="shared" si="16"/>
        <v>335.22284528492514</v>
      </c>
      <c r="X73" s="41">
        <f t="shared" si="17"/>
        <v>549.50120817496327</v>
      </c>
      <c r="Y73" s="41">
        <f t="shared" si="18"/>
        <v>835.14322224019497</v>
      </c>
      <c r="Z73" s="41">
        <f t="shared" si="19"/>
        <v>1055.2300051007633</v>
      </c>
    </row>
    <row r="74" spans="1:26" x14ac:dyDescent="0.25">
      <c r="A74" s="92" t="s">
        <v>216</v>
      </c>
      <c r="B74" s="85" t="s">
        <v>214</v>
      </c>
      <c r="C74" s="36">
        <v>0.10742808270298149</v>
      </c>
      <c r="D74" s="36">
        <v>0.13919546199227564</v>
      </c>
      <c r="E74" s="36">
        <v>0.13428510337872684</v>
      </c>
      <c r="F74" s="36">
        <v>0.17399432749034452</v>
      </c>
      <c r="G74" s="36">
        <v>0.16114212405447223</v>
      </c>
      <c r="H74" s="36">
        <v>0.20879319298841345</v>
      </c>
      <c r="I74" s="36">
        <v>0.18799914473021759</v>
      </c>
      <c r="J74" s="36">
        <v>0.24359205848648233</v>
      </c>
      <c r="K74" s="36">
        <v>0.21485616540596297</v>
      </c>
      <c r="L74" s="36">
        <v>0.27839092398455129</v>
      </c>
      <c r="M74" s="140" t="s">
        <v>213</v>
      </c>
      <c r="N74" s="43"/>
      <c r="O74" s="144">
        <v>2500</v>
      </c>
      <c r="P74" s="144">
        <v>1</v>
      </c>
      <c r="Q74" s="41">
        <f t="shared" si="10"/>
        <v>347.98865498068909</v>
      </c>
      <c r="R74" s="41">
        <f t="shared" si="11"/>
        <v>434.98581872586129</v>
      </c>
      <c r="S74" s="41">
        <f t="shared" si="12"/>
        <v>521.98298247103367</v>
      </c>
      <c r="T74" s="41">
        <f t="shared" si="13"/>
        <v>608.98014621620587</v>
      </c>
      <c r="U74" s="41">
        <f t="shared" si="14"/>
        <v>695.97730996137818</v>
      </c>
      <c r="V74" s="41">
        <f t="shared" si="15"/>
        <v>347.98865498068909</v>
      </c>
      <c r="W74" s="41">
        <f t="shared" si="16"/>
        <v>434.98581872586129</v>
      </c>
      <c r="X74" s="41">
        <f t="shared" si="17"/>
        <v>521.98298247103367</v>
      </c>
      <c r="Y74" s="41">
        <f t="shared" si="18"/>
        <v>608.98014621620587</v>
      </c>
      <c r="Z74" s="41">
        <f t="shared" si="19"/>
        <v>695.97730996137818</v>
      </c>
    </row>
    <row r="75" spans="1:26" x14ac:dyDescent="0.25">
      <c r="A75" s="39" t="s">
        <v>46</v>
      </c>
      <c r="B75" s="96" t="s">
        <v>218</v>
      </c>
      <c r="C75" s="36">
        <v>6.8000000000000005E-2</v>
      </c>
      <c r="D75" s="36">
        <v>0.11312128666666665</v>
      </c>
      <c r="E75" s="36">
        <v>8.5000000000000006E-2</v>
      </c>
      <c r="F75" s="36">
        <v>0.14140160833333335</v>
      </c>
      <c r="G75" s="36">
        <v>0.10199999999999999</v>
      </c>
      <c r="H75" s="36">
        <v>0.16968192999999995</v>
      </c>
      <c r="I75" s="36">
        <v>0.11899999999999999</v>
      </c>
      <c r="J75" s="36">
        <v>0.19796225166666664</v>
      </c>
      <c r="K75" s="37">
        <v>0.13600000000000001</v>
      </c>
      <c r="L75" s="36">
        <v>0.22624257333333331</v>
      </c>
      <c r="M75" s="139" t="s">
        <v>130</v>
      </c>
      <c r="N75" s="43" t="s">
        <v>152</v>
      </c>
      <c r="O75" s="144">
        <v>2500</v>
      </c>
      <c r="P75" s="144">
        <v>1</v>
      </c>
      <c r="Q75" s="41">
        <f t="shared" si="10"/>
        <v>282.80321666666663</v>
      </c>
      <c r="R75" s="41">
        <f t="shared" si="11"/>
        <v>353.50402083333336</v>
      </c>
      <c r="S75" s="41">
        <f t="shared" si="12"/>
        <v>424.20482499999986</v>
      </c>
      <c r="T75" s="41">
        <f t="shared" si="13"/>
        <v>494.90562916666659</v>
      </c>
      <c r="U75" s="41">
        <f t="shared" si="14"/>
        <v>565.60643333333326</v>
      </c>
      <c r="V75" s="41">
        <f t="shared" si="15"/>
        <v>282.80321666666663</v>
      </c>
      <c r="W75" s="41">
        <f t="shared" si="16"/>
        <v>353.50402083333336</v>
      </c>
      <c r="X75" s="41">
        <f t="shared" si="17"/>
        <v>424.20482499999986</v>
      </c>
      <c r="Y75" s="41">
        <f t="shared" si="18"/>
        <v>494.90562916666659</v>
      </c>
      <c r="Z75" s="41">
        <f t="shared" si="19"/>
        <v>565.60643333333326</v>
      </c>
    </row>
    <row r="76" spans="1:26" x14ac:dyDescent="0.25">
      <c r="A76" s="93" t="s">
        <v>46</v>
      </c>
      <c r="B76" s="85" t="s">
        <v>214</v>
      </c>
      <c r="C76" s="36">
        <v>3.3503830928553087E-2</v>
      </c>
      <c r="D76" s="36">
        <v>5.5735242101476262E-2</v>
      </c>
      <c r="E76" s="36">
        <v>5.8341290419510826E-2</v>
      </c>
      <c r="F76" s="36">
        <v>9.7053556441893188E-2</v>
      </c>
      <c r="G76" s="36">
        <v>0.10075270942259493</v>
      </c>
      <c r="H76" s="36">
        <v>0.16760700183877539</v>
      </c>
      <c r="I76" s="36">
        <v>0.11754482765969408</v>
      </c>
      <c r="J76" s="36">
        <v>0.19554150214523794</v>
      </c>
      <c r="K76" s="36">
        <v>0.17605825136816797</v>
      </c>
      <c r="L76" s="36">
        <v>0.29288141063309686</v>
      </c>
      <c r="M76" s="140" t="s">
        <v>213</v>
      </c>
      <c r="N76" s="43"/>
      <c r="O76" s="144">
        <v>2500</v>
      </c>
      <c r="P76" s="144">
        <v>1</v>
      </c>
      <c r="Q76" s="41">
        <f t="shared" si="10"/>
        <v>139.33810525369066</v>
      </c>
      <c r="R76" s="41">
        <f t="shared" si="11"/>
        <v>242.63389110473298</v>
      </c>
      <c r="S76" s="41">
        <f t="shared" si="12"/>
        <v>419.01750459693847</v>
      </c>
      <c r="T76" s="41">
        <f t="shared" si="13"/>
        <v>488.85375536309482</v>
      </c>
      <c r="U76" s="41">
        <f t="shared" si="14"/>
        <v>732.20352658274214</v>
      </c>
      <c r="V76" s="41">
        <f t="shared" si="15"/>
        <v>139.33810525369066</v>
      </c>
      <c r="W76" s="41">
        <f t="shared" si="16"/>
        <v>242.63389110473298</v>
      </c>
      <c r="X76" s="41">
        <f t="shared" si="17"/>
        <v>419.01750459693847</v>
      </c>
      <c r="Y76" s="41">
        <f t="shared" si="18"/>
        <v>488.85375536309482</v>
      </c>
      <c r="Z76" s="41">
        <f t="shared" si="19"/>
        <v>732.20352658274214</v>
      </c>
    </row>
    <row r="77" spans="1:26" x14ac:dyDescent="0.25">
      <c r="A77" s="38" t="s">
        <v>47</v>
      </c>
      <c r="B77" s="88" t="s">
        <v>95</v>
      </c>
      <c r="C77" s="37">
        <v>0.67583025830258303</v>
      </c>
      <c r="D77" s="37">
        <f>'Total especies y métodos'!D76</f>
        <v>0.4564333244723322</v>
      </c>
      <c r="E77" s="37">
        <f>'Total especies y métodos'!E76</f>
        <v>1.099248120300752</v>
      </c>
      <c r="F77" s="37">
        <f>'Total especies y métodos'!F76</f>
        <v>0.78694276633853766</v>
      </c>
      <c r="G77" s="37">
        <f>'Total especies y métodos'!G76</f>
        <v>1.552547770700637</v>
      </c>
      <c r="H77" s="37">
        <f>'Total especies y métodos'!H76</f>
        <v>1.1651157738742044</v>
      </c>
      <c r="I77" s="37">
        <f>'Total especies y métodos'!I76</f>
        <v>2.0538759689922479</v>
      </c>
      <c r="J77" s="37">
        <f>'Total especies y métodos'!J76</f>
        <v>1.5580231120134596</v>
      </c>
      <c r="K77" s="37">
        <f>'Total especies y métodos'!K76</f>
        <v>2.5878999999999999</v>
      </c>
      <c r="L77" s="37">
        <f>'Total especies y métodos'!L76</f>
        <v>1.7805978423010973</v>
      </c>
      <c r="M77" s="28" t="s">
        <v>81</v>
      </c>
      <c r="N77" s="43" t="s">
        <v>123</v>
      </c>
      <c r="O77" s="144">
        <v>2500</v>
      </c>
      <c r="P77" s="144">
        <v>1</v>
      </c>
      <c r="Q77" s="41">
        <f t="shared" si="10"/>
        <v>1141.0833111808306</v>
      </c>
      <c r="R77" s="41">
        <f t="shared" si="11"/>
        <v>1967.3569158463442</v>
      </c>
      <c r="S77" s="41">
        <f t="shared" si="12"/>
        <v>2912.789434685511</v>
      </c>
      <c r="T77" s="41">
        <f t="shared" si="13"/>
        <v>3895.0577800336487</v>
      </c>
      <c r="U77" s="41">
        <f t="shared" si="14"/>
        <v>4451.4946057527432</v>
      </c>
      <c r="V77" s="41">
        <f t="shared" si="15"/>
        <v>1141.0833111808306</v>
      </c>
      <c r="W77" s="41">
        <f t="shared" si="16"/>
        <v>1967.3569158463442</v>
      </c>
      <c r="X77" s="41">
        <f t="shared" si="17"/>
        <v>2912.789434685511</v>
      </c>
      <c r="Y77" s="41">
        <f t="shared" si="18"/>
        <v>3895.0577800336487</v>
      </c>
      <c r="Z77" s="41">
        <f t="shared" si="19"/>
        <v>4451.4946057527432</v>
      </c>
    </row>
    <row r="78" spans="1:26" x14ac:dyDescent="0.25">
      <c r="A78" s="39" t="s">
        <v>47</v>
      </c>
      <c r="B78" s="96" t="s">
        <v>218</v>
      </c>
      <c r="C78" s="36">
        <v>0.25600000000000001</v>
      </c>
      <c r="D78" s="36">
        <v>0.26536106666666665</v>
      </c>
      <c r="E78" s="36">
        <v>0.53400000000000003</v>
      </c>
      <c r="F78" s="36">
        <v>0.55352659999999998</v>
      </c>
      <c r="G78" s="36">
        <v>0.92300000000000004</v>
      </c>
      <c r="H78" s="36">
        <v>0.95675103333333333</v>
      </c>
      <c r="I78" s="36">
        <v>1.4350000000000001</v>
      </c>
      <c r="J78" s="36">
        <v>1.4874731666666665</v>
      </c>
      <c r="K78" s="37">
        <v>2.0790000000000002</v>
      </c>
      <c r="L78" s="36">
        <v>2.1550221000000001</v>
      </c>
      <c r="M78" s="139" t="s">
        <v>130</v>
      </c>
      <c r="N78" s="43"/>
      <c r="O78" s="144">
        <v>2500</v>
      </c>
      <c r="P78" s="144">
        <v>1</v>
      </c>
      <c r="Q78" s="41">
        <f t="shared" si="10"/>
        <v>663.40266666666662</v>
      </c>
      <c r="R78" s="41">
        <f t="shared" si="11"/>
        <v>1383.8164999999999</v>
      </c>
      <c r="S78" s="41">
        <f t="shared" si="12"/>
        <v>2391.8775833333334</v>
      </c>
      <c r="T78" s="41">
        <f t="shared" si="13"/>
        <v>3718.6829166666662</v>
      </c>
      <c r="U78" s="41">
        <f t="shared" si="14"/>
        <v>5387.5552500000003</v>
      </c>
      <c r="V78" s="41">
        <f t="shared" si="15"/>
        <v>663.40266666666662</v>
      </c>
      <c r="W78" s="41">
        <f t="shared" si="16"/>
        <v>1383.8164999999999</v>
      </c>
      <c r="X78" s="41">
        <f t="shared" si="17"/>
        <v>2391.8775833333334</v>
      </c>
      <c r="Y78" s="41">
        <f t="shared" si="18"/>
        <v>3718.6829166666662</v>
      </c>
      <c r="Z78" s="41">
        <f t="shared" si="19"/>
        <v>5387.5552500000003</v>
      </c>
    </row>
    <row r="79" spans="1:26" x14ac:dyDescent="0.25">
      <c r="A79" s="93" t="s">
        <v>47</v>
      </c>
      <c r="B79" s="85" t="s">
        <v>214</v>
      </c>
      <c r="C79" s="36">
        <v>0.31777502341536062</v>
      </c>
      <c r="D79" s="36">
        <v>0.32939499677158235</v>
      </c>
      <c r="E79" s="36">
        <v>0.55930534071995763</v>
      </c>
      <c r="F79" s="36">
        <v>0.57975727267895072</v>
      </c>
      <c r="G79" s="36">
        <v>1.1056419210053683</v>
      </c>
      <c r="H79" s="36">
        <v>1.1460715605834644</v>
      </c>
      <c r="I79" s="36">
        <v>1.7462315731181992</v>
      </c>
      <c r="J79" s="36">
        <v>1.8100854409752209</v>
      </c>
      <c r="K79" s="36">
        <v>2.6150138968397703</v>
      </c>
      <c r="L79" s="36">
        <v>2.7106362383342106</v>
      </c>
      <c r="M79" s="140" t="s">
        <v>213</v>
      </c>
      <c r="N79" s="43"/>
      <c r="O79" s="144">
        <v>2500</v>
      </c>
      <c r="P79" s="144">
        <v>1</v>
      </c>
      <c r="Q79" s="41">
        <f t="shared" si="10"/>
        <v>823.48749192895582</v>
      </c>
      <c r="R79" s="41">
        <f t="shared" si="11"/>
        <v>1449.3931816973768</v>
      </c>
      <c r="S79" s="41">
        <f t="shared" si="12"/>
        <v>2865.1789014586611</v>
      </c>
      <c r="T79" s="41">
        <f t="shared" si="13"/>
        <v>4525.2136024380525</v>
      </c>
      <c r="U79" s="41">
        <f t="shared" si="14"/>
        <v>6776.590595835527</v>
      </c>
      <c r="V79" s="41">
        <f t="shared" si="15"/>
        <v>823.48749192895582</v>
      </c>
      <c r="W79" s="41">
        <f t="shared" si="16"/>
        <v>1449.3931816973768</v>
      </c>
      <c r="X79" s="41">
        <f t="shared" si="17"/>
        <v>2865.1789014586611</v>
      </c>
      <c r="Y79" s="41">
        <f t="shared" si="18"/>
        <v>4525.2136024380525</v>
      </c>
      <c r="Z79" s="41">
        <f t="shared" si="19"/>
        <v>6776.590595835527</v>
      </c>
    </row>
    <row r="80" spans="1:26" x14ac:dyDescent="0.25">
      <c r="A80" s="136" t="s">
        <v>47</v>
      </c>
      <c r="B80" s="135"/>
      <c r="C80" s="36"/>
      <c r="D80" s="36">
        <v>0.6347880113549772</v>
      </c>
      <c r="E80" s="36"/>
      <c r="F80" s="36">
        <v>1.0173346238390923</v>
      </c>
      <c r="G80" s="36"/>
      <c r="H80" s="36">
        <v>1.4175702293543506</v>
      </c>
      <c r="I80" s="36"/>
      <c r="J80" s="36">
        <v>1.8563619864045695</v>
      </c>
      <c r="K80" s="36"/>
      <c r="L80" s="36">
        <v>2.7347329518756447</v>
      </c>
      <c r="M80" s="142" t="s">
        <v>85</v>
      </c>
      <c r="N80" s="43"/>
      <c r="O80" s="144">
        <v>2500</v>
      </c>
      <c r="P80" s="144">
        <v>1</v>
      </c>
      <c r="Q80" s="41">
        <f t="shared" si="10"/>
        <v>1586.9700283874431</v>
      </c>
      <c r="R80" s="41">
        <f t="shared" si="11"/>
        <v>2543.3365595977307</v>
      </c>
      <c r="S80" s="41">
        <f t="shared" si="12"/>
        <v>3543.9255733858768</v>
      </c>
      <c r="T80" s="41">
        <f t="shared" si="13"/>
        <v>4640.9049660114242</v>
      </c>
      <c r="U80" s="41">
        <f t="shared" si="14"/>
        <v>6836.8323796891118</v>
      </c>
      <c r="V80" s="41">
        <f t="shared" si="15"/>
        <v>1586.9700283874431</v>
      </c>
      <c r="W80" s="41">
        <f t="shared" si="16"/>
        <v>2543.3365595977307</v>
      </c>
      <c r="X80" s="41">
        <f t="shared" si="17"/>
        <v>3543.9255733858768</v>
      </c>
      <c r="Y80" s="41">
        <f t="shared" si="18"/>
        <v>4640.9049660114242</v>
      </c>
      <c r="Z80" s="41">
        <f t="shared" si="19"/>
        <v>6836.8323796891118</v>
      </c>
    </row>
    <row r="81" spans="1:26" x14ac:dyDescent="0.25">
      <c r="A81" s="506" t="s">
        <v>48</v>
      </c>
      <c r="B81" s="88" t="s">
        <v>307</v>
      </c>
      <c r="C81" s="37">
        <v>4.7578749412317822E-2</v>
      </c>
      <c r="D81" s="37">
        <f>'Total especies y métodos'!D80</f>
        <v>2.0214699176883854E-2</v>
      </c>
      <c r="E81" s="37">
        <f>'Total especies y métodos'!E80</f>
        <v>5.9473436765397278E-2</v>
      </c>
      <c r="F81" s="37">
        <f>'Total especies y métodos'!F80</f>
        <v>5.0853708186201808E-2</v>
      </c>
      <c r="G81" s="37">
        <f>'Total especies y métodos'!G80</f>
        <v>7.1368124118476733E-2</v>
      </c>
      <c r="H81" s="37">
        <f>'Total especies y métodos'!H80</f>
        <v>6.102444982344217E-2</v>
      </c>
      <c r="I81" s="37">
        <f>'Total especies y métodos'!I80</f>
        <v>8.3262811471556189E-2</v>
      </c>
      <c r="J81" s="37">
        <f>'Total especies y métodos'!J80</f>
        <v>0.14704079816421481</v>
      </c>
      <c r="K81" s="37">
        <f>'Total especies y métodos'!K80</f>
        <v>0.17998417721518986</v>
      </c>
      <c r="L81" s="37">
        <f>'Total especies y métodos'!L80</f>
        <v>0.16804662647338833</v>
      </c>
      <c r="M81" s="28" t="s">
        <v>81</v>
      </c>
      <c r="N81" s="43" t="s">
        <v>128</v>
      </c>
      <c r="O81" s="144">
        <v>2500</v>
      </c>
      <c r="P81" s="144">
        <v>1</v>
      </c>
      <c r="Q81" s="41">
        <f t="shared" si="10"/>
        <v>50.536747942209637</v>
      </c>
      <c r="R81" s="41">
        <f t="shared" si="11"/>
        <v>127.13427046550451</v>
      </c>
      <c r="S81" s="41">
        <f t="shared" si="12"/>
        <v>152.56112455860543</v>
      </c>
      <c r="T81" s="41">
        <f t="shared" si="13"/>
        <v>367.60199541053703</v>
      </c>
      <c r="U81" s="41">
        <f t="shared" si="14"/>
        <v>420.11656618347081</v>
      </c>
      <c r="V81" s="41">
        <f t="shared" si="15"/>
        <v>50.536747942209637</v>
      </c>
      <c r="W81" s="41">
        <f t="shared" si="16"/>
        <v>127.13427046550451</v>
      </c>
      <c r="X81" s="41">
        <f t="shared" si="17"/>
        <v>152.56112455860543</v>
      </c>
      <c r="Y81" s="41">
        <f t="shared" si="18"/>
        <v>367.60199541053703</v>
      </c>
      <c r="Z81" s="41">
        <f t="shared" si="19"/>
        <v>420.11656618347081</v>
      </c>
    </row>
    <row r="82" spans="1:26" x14ac:dyDescent="0.25">
      <c r="A82" s="508"/>
      <c r="B82" s="88" t="s">
        <v>94</v>
      </c>
      <c r="C82" s="37">
        <v>2.9976019184652279E-2</v>
      </c>
      <c r="D82" s="37">
        <f>'Total especies y métodos'!D81</f>
        <v>3.1639288306640985E-2</v>
      </c>
      <c r="E82" s="37">
        <f>'Total especies y métodos'!E81</f>
        <v>1.0594734367654</v>
      </c>
      <c r="F82" s="37">
        <f>'Total especies y métodos'!F81</f>
        <v>3.9549110383301236E-2</v>
      </c>
      <c r="G82" s="37">
        <f>'Total especies y métodos'!G81</f>
        <v>1.07136812411848</v>
      </c>
      <c r="H82" s="37">
        <f>'Total especies y métodos'!H81</f>
        <v>4.7458932459961474E-2</v>
      </c>
      <c r="I82" s="37">
        <f>'Total especies y métodos'!I81</f>
        <v>1.0832628114715599</v>
      </c>
      <c r="J82" s="37">
        <f>'Total especies y métodos'!J81</f>
        <v>9.1964080011148003E-2</v>
      </c>
      <c r="K82" s="37">
        <f>'Total especies y métodos'!K81</f>
        <v>1.17998417721519</v>
      </c>
      <c r="L82" s="37">
        <f>'Total especies y métodos'!L81</f>
        <v>0.10795822541769297</v>
      </c>
      <c r="M82" s="28" t="s">
        <v>81</v>
      </c>
      <c r="N82" s="43" t="s">
        <v>122</v>
      </c>
      <c r="O82" s="144">
        <v>2500</v>
      </c>
      <c r="P82" s="144">
        <v>1</v>
      </c>
      <c r="Q82" s="41">
        <f t="shared" si="10"/>
        <v>79.098220766602466</v>
      </c>
      <c r="R82" s="41">
        <f t="shared" si="11"/>
        <v>98.872775958253087</v>
      </c>
      <c r="S82" s="41">
        <f t="shared" si="12"/>
        <v>118.64733114990368</v>
      </c>
      <c r="T82" s="41">
        <f t="shared" si="13"/>
        <v>229.91020002787002</v>
      </c>
      <c r="U82" s="41">
        <f t="shared" si="14"/>
        <v>269.8955635442324</v>
      </c>
      <c r="V82" s="41">
        <f t="shared" si="15"/>
        <v>79.098220766602466</v>
      </c>
      <c r="W82" s="41">
        <f t="shared" si="16"/>
        <v>98.872775958253087</v>
      </c>
      <c r="X82" s="41">
        <f t="shared" si="17"/>
        <v>118.64733114990368</v>
      </c>
      <c r="Y82" s="41">
        <f t="shared" si="18"/>
        <v>229.91020002787002</v>
      </c>
      <c r="Z82" s="41">
        <f t="shared" si="19"/>
        <v>269.8955635442324</v>
      </c>
    </row>
    <row r="83" spans="1:26" x14ac:dyDescent="0.25">
      <c r="A83" s="507"/>
      <c r="B83" s="88" t="s">
        <v>96</v>
      </c>
      <c r="C83" s="37"/>
      <c r="D83" s="37">
        <f>'Total especies y métodos'!D82</f>
        <v>4.3635426256541009E-2</v>
      </c>
      <c r="E83" s="37">
        <f>'Total especies y métodos'!E82</f>
        <v>2.0594734367654</v>
      </c>
      <c r="F83" s="37">
        <f>'Total especies y métodos'!F82</f>
        <v>5.4544282820676256E-2</v>
      </c>
      <c r="G83" s="37">
        <f>'Total especies y métodos'!G82</f>
        <v>2.07136812411848</v>
      </c>
      <c r="H83" s="37">
        <f>'Total especies y métodos'!H82</f>
        <v>6.545313938481151E-2</v>
      </c>
      <c r="I83" s="37">
        <f>'Total especies y métodos'!I82</f>
        <v>2.0832628114715601</v>
      </c>
      <c r="J83" s="37">
        <f>'Total especies y métodos'!J82</f>
        <v>0.10950251840392226</v>
      </c>
      <c r="K83" s="37">
        <f>'Total especies y métodos'!K82</f>
        <v>2.1799841772151902</v>
      </c>
      <c r="L83" s="37">
        <f>'Total especies y métodos'!L82</f>
        <v>0.16625264941496601</v>
      </c>
      <c r="M83" s="28"/>
      <c r="N83" s="43"/>
      <c r="O83" s="144"/>
      <c r="P83" s="144"/>
      <c r="Q83" s="41"/>
      <c r="R83" s="41"/>
      <c r="S83" s="41"/>
      <c r="T83" s="41"/>
      <c r="U83" s="41"/>
      <c r="V83" s="41"/>
      <c r="W83" s="41"/>
      <c r="X83" s="41"/>
      <c r="Y83" s="41"/>
      <c r="Z83" s="41"/>
    </row>
    <row r="84" spans="1:26" x14ac:dyDescent="0.25">
      <c r="A84" s="39" t="s">
        <v>48</v>
      </c>
      <c r="B84" s="96" t="s">
        <v>218</v>
      </c>
      <c r="C84" s="36">
        <v>6.2E-2</v>
      </c>
      <c r="D84" s="36">
        <v>9.0135393333333313E-2</v>
      </c>
      <c r="E84" s="36">
        <v>7.7499999999999999E-2</v>
      </c>
      <c r="F84" s="36">
        <v>0.11266924166666666</v>
      </c>
      <c r="G84" s="36">
        <v>9.2999999999999999E-2</v>
      </c>
      <c r="H84" s="36">
        <v>0.13520308999999997</v>
      </c>
      <c r="I84" s="36">
        <v>0.1085</v>
      </c>
      <c r="J84" s="36">
        <v>0.15773693833333333</v>
      </c>
      <c r="K84" s="37">
        <v>0.124</v>
      </c>
      <c r="L84" s="36">
        <v>0.18027078666666663</v>
      </c>
      <c r="M84" s="139" t="s">
        <v>130</v>
      </c>
      <c r="N84" s="43" t="s">
        <v>152</v>
      </c>
      <c r="O84" s="144">
        <v>2500</v>
      </c>
      <c r="P84" s="144">
        <v>1</v>
      </c>
      <c r="Q84" s="41">
        <f t="shared" si="10"/>
        <v>225.33848333333327</v>
      </c>
      <c r="R84" s="41">
        <f t="shared" si="11"/>
        <v>281.67310416666663</v>
      </c>
      <c r="S84" s="41">
        <f t="shared" si="12"/>
        <v>338.00772499999994</v>
      </c>
      <c r="T84" s="41">
        <f t="shared" si="13"/>
        <v>394.3423458333333</v>
      </c>
      <c r="U84" s="41">
        <f t="shared" si="14"/>
        <v>450.67696666666654</v>
      </c>
      <c r="V84" s="41">
        <f t="shared" si="15"/>
        <v>225.33848333333327</v>
      </c>
      <c r="W84" s="41">
        <f t="shared" si="16"/>
        <v>281.67310416666663</v>
      </c>
      <c r="X84" s="41">
        <f t="shared" si="17"/>
        <v>338.00772499999994</v>
      </c>
      <c r="Y84" s="41">
        <f t="shared" si="18"/>
        <v>394.3423458333333</v>
      </c>
      <c r="Z84" s="41">
        <f t="shared" si="19"/>
        <v>450.67696666666654</v>
      </c>
    </row>
    <row r="85" spans="1:26" x14ac:dyDescent="0.25">
      <c r="A85" s="93" t="s">
        <v>48</v>
      </c>
      <c r="B85" s="85" t="s">
        <v>214</v>
      </c>
      <c r="C85" s="36">
        <v>2.5368496278808071E-2</v>
      </c>
      <c r="D85" s="36">
        <v>3.6880635328476907E-2</v>
      </c>
      <c r="E85" s="36">
        <v>6.40322140670921E-2</v>
      </c>
      <c r="F85" s="36">
        <v>9.3089819370024932E-2</v>
      </c>
      <c r="G85" s="36">
        <v>7.6838656880510517E-2</v>
      </c>
      <c r="H85" s="36">
        <v>0.11170778324402991</v>
      </c>
      <c r="I85" s="36">
        <v>0.13420830181283941</v>
      </c>
      <c r="J85" s="36">
        <v>0.19511158181449983</v>
      </c>
      <c r="K85" s="36">
        <v>0.15338091635753076</v>
      </c>
      <c r="L85" s="36">
        <v>0.222984664930857</v>
      </c>
      <c r="M85" s="140" t="s">
        <v>213</v>
      </c>
      <c r="N85" s="43"/>
      <c r="O85" s="144">
        <v>2500</v>
      </c>
      <c r="P85" s="144">
        <v>1</v>
      </c>
      <c r="Q85" s="41">
        <f t="shared" si="10"/>
        <v>92.201588321192261</v>
      </c>
      <c r="R85" s="41">
        <f t="shared" si="11"/>
        <v>232.72454842506232</v>
      </c>
      <c r="S85" s="41">
        <f t="shared" si="12"/>
        <v>279.26945811007477</v>
      </c>
      <c r="T85" s="41">
        <f t="shared" si="13"/>
        <v>487.77895453624961</v>
      </c>
      <c r="U85" s="41">
        <f t="shared" si="14"/>
        <v>557.46166232714245</v>
      </c>
      <c r="V85" s="41">
        <f t="shared" si="15"/>
        <v>92.201588321192261</v>
      </c>
      <c r="W85" s="41">
        <f t="shared" si="16"/>
        <v>232.72454842506232</v>
      </c>
      <c r="X85" s="41">
        <f t="shared" si="17"/>
        <v>279.26945811007477</v>
      </c>
      <c r="Y85" s="41">
        <f t="shared" si="18"/>
        <v>487.77895453624961</v>
      </c>
      <c r="Z85" s="41">
        <f t="shared" si="19"/>
        <v>557.46166232714245</v>
      </c>
    </row>
    <row r="86" spans="1:26" x14ac:dyDescent="0.25">
      <c r="A86" s="136" t="s">
        <v>48</v>
      </c>
      <c r="B86" s="135" t="s">
        <v>244</v>
      </c>
      <c r="C86" s="36"/>
      <c r="D86" s="36">
        <v>6.818251395571974E-2</v>
      </c>
      <c r="E86" s="36"/>
      <c r="F86" s="36">
        <v>0.11328301245370812</v>
      </c>
      <c r="G86" s="36"/>
      <c r="H86" s="36">
        <v>0.25256765800093695</v>
      </c>
      <c r="I86" s="36"/>
      <c r="J86" s="36">
        <v>0.42436886474774788</v>
      </c>
      <c r="K86" s="36"/>
      <c r="L86" s="36">
        <v>0.62140325587320611</v>
      </c>
      <c r="M86" s="142" t="s">
        <v>85</v>
      </c>
      <c r="N86" s="43"/>
      <c r="O86" s="144">
        <v>2500</v>
      </c>
      <c r="P86" s="144">
        <v>1</v>
      </c>
      <c r="Q86" s="41">
        <f t="shared" si="10"/>
        <v>170.45628488929935</v>
      </c>
      <c r="R86" s="41">
        <f t="shared" si="11"/>
        <v>283.20753113427031</v>
      </c>
      <c r="S86" s="41">
        <f t="shared" si="12"/>
        <v>631.41914500234236</v>
      </c>
      <c r="T86" s="41">
        <f t="shared" si="13"/>
        <v>1060.9221618693698</v>
      </c>
      <c r="U86" s="41">
        <f t="shared" si="14"/>
        <v>1553.5081396830153</v>
      </c>
      <c r="V86" s="41">
        <f t="shared" si="15"/>
        <v>170.45628488929935</v>
      </c>
      <c r="W86" s="41">
        <f t="shared" si="16"/>
        <v>283.20753113427031</v>
      </c>
      <c r="X86" s="41">
        <f t="shared" si="17"/>
        <v>631.41914500234236</v>
      </c>
      <c r="Y86" s="41">
        <f t="shared" si="18"/>
        <v>1060.9221618693698</v>
      </c>
      <c r="Z86" s="41">
        <f t="shared" si="19"/>
        <v>1553.5081396830153</v>
      </c>
    </row>
    <row r="87" spans="1:26" x14ac:dyDescent="0.25">
      <c r="A87" s="39" t="s">
        <v>49</v>
      </c>
      <c r="B87" s="96" t="s">
        <v>218</v>
      </c>
      <c r="C87" s="36">
        <v>3.2000000000000001E-2</v>
      </c>
      <c r="D87" s="36">
        <v>4.9564533333333334E-2</v>
      </c>
      <c r="E87" s="36">
        <v>0.04</v>
      </c>
      <c r="F87" s="36">
        <v>6.1955666666666666E-2</v>
      </c>
      <c r="G87" s="36">
        <v>4.8000000000000001E-2</v>
      </c>
      <c r="H87" s="36">
        <v>7.4346800000000005E-2</v>
      </c>
      <c r="I87" s="36">
        <v>5.6000000000000001E-2</v>
      </c>
      <c r="J87" s="36">
        <v>8.6737933333333336E-2</v>
      </c>
      <c r="K87" s="37">
        <v>6.4000000000000001E-2</v>
      </c>
      <c r="L87" s="36">
        <v>9.9129066666666668E-2</v>
      </c>
      <c r="M87" s="139" t="s">
        <v>130</v>
      </c>
      <c r="N87" s="43" t="s">
        <v>131</v>
      </c>
      <c r="O87" s="144">
        <v>2500</v>
      </c>
      <c r="P87" s="144">
        <v>1</v>
      </c>
      <c r="Q87" s="41">
        <f t="shared" si="10"/>
        <v>123.91133333333333</v>
      </c>
      <c r="R87" s="41">
        <f t="shared" si="11"/>
        <v>154.88916666666665</v>
      </c>
      <c r="S87" s="41">
        <f t="shared" si="12"/>
        <v>185.86700000000002</v>
      </c>
      <c r="T87" s="41">
        <f t="shared" si="13"/>
        <v>216.84483333333333</v>
      </c>
      <c r="U87" s="41">
        <f t="shared" si="14"/>
        <v>247.82266666666666</v>
      </c>
      <c r="V87" s="41">
        <f t="shared" si="15"/>
        <v>123.91133333333333</v>
      </c>
      <c r="W87" s="41">
        <f t="shared" si="16"/>
        <v>154.88916666666665</v>
      </c>
      <c r="X87" s="41">
        <f t="shared" si="17"/>
        <v>185.86700000000002</v>
      </c>
      <c r="Y87" s="41">
        <f t="shared" si="18"/>
        <v>216.84483333333333</v>
      </c>
      <c r="Z87" s="41">
        <f t="shared" si="19"/>
        <v>247.82266666666666</v>
      </c>
    </row>
    <row r="88" spans="1:26" x14ac:dyDescent="0.25">
      <c r="A88" s="93" t="s">
        <v>49</v>
      </c>
      <c r="B88" s="85" t="s">
        <v>214</v>
      </c>
      <c r="C88" s="36">
        <v>2.3631844082256638E-2</v>
      </c>
      <c r="D88" s="36">
        <v>3.6603166366973285E-2</v>
      </c>
      <c r="E88" s="36">
        <v>2.9539805102820796E-2</v>
      </c>
      <c r="F88" s="36">
        <v>4.5753957958716604E-2</v>
      </c>
      <c r="G88" s="36">
        <v>5.8196712673332089E-2</v>
      </c>
      <c r="H88" s="36">
        <v>9.0140403287118462E-2</v>
      </c>
      <c r="I88" s="36">
        <v>6.7896164785554103E-2</v>
      </c>
      <c r="J88" s="36">
        <v>0.10516380383497152</v>
      </c>
      <c r="K88" s="36">
        <v>7.759561689777611E-2</v>
      </c>
      <c r="L88" s="36">
        <v>0.12018720438282458</v>
      </c>
      <c r="M88" s="140" t="s">
        <v>213</v>
      </c>
      <c r="N88" s="43"/>
      <c r="O88" s="144">
        <v>2500</v>
      </c>
      <c r="P88" s="144">
        <v>1</v>
      </c>
      <c r="Q88" s="41">
        <f t="shared" si="10"/>
        <v>91.507915917433209</v>
      </c>
      <c r="R88" s="41">
        <f t="shared" si="11"/>
        <v>114.38489489679151</v>
      </c>
      <c r="S88" s="41">
        <f t="shared" si="12"/>
        <v>225.35100821779616</v>
      </c>
      <c r="T88" s="41">
        <f t="shared" si="13"/>
        <v>262.90950958742883</v>
      </c>
      <c r="U88" s="41">
        <f t="shared" si="14"/>
        <v>300.46801095706144</v>
      </c>
      <c r="V88" s="41">
        <f t="shared" si="15"/>
        <v>91.507915917433209</v>
      </c>
      <c r="W88" s="41">
        <f t="shared" si="16"/>
        <v>114.38489489679151</v>
      </c>
      <c r="X88" s="41">
        <f t="shared" si="17"/>
        <v>225.35100821779616</v>
      </c>
      <c r="Y88" s="41">
        <f t="shared" si="18"/>
        <v>262.90950958742883</v>
      </c>
      <c r="Z88" s="41">
        <f t="shared" si="19"/>
        <v>300.46801095706144</v>
      </c>
    </row>
    <row r="89" spans="1:26" x14ac:dyDescent="0.25">
      <c r="A89" s="2" t="s">
        <v>50</v>
      </c>
      <c r="B89" s="87"/>
      <c r="C89" s="37"/>
      <c r="D89" s="36"/>
      <c r="E89" s="36"/>
      <c r="F89" s="36"/>
      <c r="G89" s="36"/>
      <c r="H89" s="36"/>
      <c r="I89" s="37"/>
      <c r="J89" s="37"/>
      <c r="K89" s="37"/>
      <c r="L89" s="37"/>
      <c r="M89" s="141"/>
      <c r="N89" s="43"/>
      <c r="O89" s="144">
        <v>2500</v>
      </c>
      <c r="P89" s="144">
        <v>1</v>
      </c>
      <c r="Q89" s="41">
        <f t="shared" si="10"/>
        <v>0</v>
      </c>
      <c r="R89" s="41">
        <f t="shared" si="11"/>
        <v>0</v>
      </c>
      <c r="S89" s="41">
        <f t="shared" si="12"/>
        <v>0</v>
      </c>
      <c r="T89" s="41">
        <f t="shared" si="13"/>
        <v>0</v>
      </c>
      <c r="U89" s="41">
        <f t="shared" si="14"/>
        <v>0</v>
      </c>
      <c r="V89" s="41">
        <f t="shared" si="15"/>
        <v>0</v>
      </c>
      <c r="W89" s="41">
        <f t="shared" si="16"/>
        <v>0</v>
      </c>
      <c r="X89" s="41">
        <f t="shared" si="17"/>
        <v>0</v>
      </c>
      <c r="Y89" s="41">
        <f t="shared" si="18"/>
        <v>0</v>
      </c>
      <c r="Z89" s="41">
        <f t="shared" si="19"/>
        <v>0</v>
      </c>
    </row>
    <row r="90" spans="1:26" x14ac:dyDescent="0.25">
      <c r="A90" s="2" t="s">
        <v>51</v>
      </c>
      <c r="B90" s="87"/>
      <c r="C90" s="37"/>
      <c r="D90" s="36"/>
      <c r="E90" s="36"/>
      <c r="F90" s="36"/>
      <c r="G90" s="36"/>
      <c r="H90" s="36"/>
      <c r="I90" s="37"/>
      <c r="J90" s="37"/>
      <c r="K90" s="37"/>
      <c r="L90" s="37"/>
      <c r="M90" s="141"/>
      <c r="N90" s="43"/>
      <c r="O90" s="144">
        <v>2500</v>
      </c>
      <c r="P90" s="144">
        <v>1</v>
      </c>
      <c r="Q90" s="41">
        <f t="shared" si="10"/>
        <v>0</v>
      </c>
      <c r="R90" s="41">
        <f t="shared" si="11"/>
        <v>0</v>
      </c>
      <c r="S90" s="41">
        <f t="shared" si="12"/>
        <v>0</v>
      </c>
      <c r="T90" s="41">
        <f t="shared" si="13"/>
        <v>0</v>
      </c>
      <c r="U90" s="41">
        <f t="shared" si="14"/>
        <v>0</v>
      </c>
      <c r="V90" s="41">
        <f t="shared" si="15"/>
        <v>0</v>
      </c>
      <c r="W90" s="41">
        <f t="shared" si="16"/>
        <v>0</v>
      </c>
      <c r="X90" s="41">
        <f t="shared" si="17"/>
        <v>0</v>
      </c>
      <c r="Y90" s="41">
        <f t="shared" si="18"/>
        <v>0</v>
      </c>
      <c r="Z90" s="41">
        <f t="shared" si="19"/>
        <v>0</v>
      </c>
    </row>
    <row r="91" spans="1:26" x14ac:dyDescent="0.25">
      <c r="A91" s="92" t="s">
        <v>110</v>
      </c>
      <c r="B91" s="85" t="s">
        <v>214</v>
      </c>
      <c r="C91" s="36">
        <v>0.13331567677235068</v>
      </c>
      <c r="D91" s="36">
        <v>0.20654286732427818</v>
      </c>
      <c r="E91" s="36">
        <v>0.29653007932906505</v>
      </c>
      <c r="F91" s="36">
        <v>0.45940713286933604</v>
      </c>
      <c r="G91" s="36">
        <v>0.43352669931402832</v>
      </c>
      <c r="H91" s="36">
        <v>0.67165279962424007</v>
      </c>
      <c r="I91" s="36">
        <v>0.59561593058269391</v>
      </c>
      <c r="J91" s="36">
        <v>0.92277386354672075</v>
      </c>
      <c r="K91" s="36">
        <v>0.81528022188747196</v>
      </c>
      <c r="L91" s="36">
        <v>1.2630946245650829</v>
      </c>
      <c r="M91" s="140" t="s">
        <v>213</v>
      </c>
      <c r="N91" s="43"/>
      <c r="O91" s="144">
        <v>2500</v>
      </c>
      <c r="P91" s="144">
        <v>1</v>
      </c>
      <c r="Q91" s="41">
        <f t="shared" si="10"/>
        <v>516.35716831069544</v>
      </c>
      <c r="R91" s="41">
        <f t="shared" si="11"/>
        <v>1148.5178321733401</v>
      </c>
      <c r="S91" s="41">
        <f t="shared" si="12"/>
        <v>1679.1319990606003</v>
      </c>
      <c r="T91" s="41">
        <f t="shared" si="13"/>
        <v>2306.9346588668018</v>
      </c>
      <c r="U91" s="41">
        <f t="shared" si="14"/>
        <v>3157.7365614127075</v>
      </c>
      <c r="V91" s="41">
        <f t="shared" si="15"/>
        <v>516.35716831069544</v>
      </c>
      <c r="W91" s="41">
        <f t="shared" si="16"/>
        <v>1148.5178321733401</v>
      </c>
      <c r="X91" s="41">
        <f t="shared" si="17"/>
        <v>1679.1319990606003</v>
      </c>
      <c r="Y91" s="41">
        <f t="shared" si="18"/>
        <v>2306.9346588668018</v>
      </c>
      <c r="Z91" s="41">
        <f t="shared" si="19"/>
        <v>3157.7365614127075</v>
      </c>
    </row>
    <row r="92" spans="1:26" x14ac:dyDescent="0.25">
      <c r="A92" s="39" t="s">
        <v>52</v>
      </c>
      <c r="B92" s="96" t="s">
        <v>218</v>
      </c>
      <c r="C92" s="36">
        <v>0.218</v>
      </c>
      <c r="D92" s="36">
        <v>0.33774231333333332</v>
      </c>
      <c r="E92" s="36">
        <v>0.38100000000000001</v>
      </c>
      <c r="F92" s="36">
        <v>0.59027441000000003</v>
      </c>
      <c r="G92" s="36">
        <v>0.57399999999999995</v>
      </c>
      <c r="H92" s="36">
        <v>0.88928480666666643</v>
      </c>
      <c r="I92" s="36">
        <v>0.79300000000000004</v>
      </c>
      <c r="J92" s="36">
        <v>1.228576396666667</v>
      </c>
      <c r="K92" s="37">
        <v>1.036</v>
      </c>
      <c r="L92" s="36">
        <v>1.6050506266666669</v>
      </c>
      <c r="M92" s="139" t="s">
        <v>130</v>
      </c>
      <c r="N92" s="43"/>
      <c r="O92" s="144">
        <v>2500</v>
      </c>
      <c r="P92" s="144">
        <v>1</v>
      </c>
      <c r="Q92" s="41">
        <f t="shared" si="10"/>
        <v>844.35578333333331</v>
      </c>
      <c r="R92" s="41">
        <f t="shared" si="11"/>
        <v>1475.686025</v>
      </c>
      <c r="S92" s="41">
        <f t="shared" si="12"/>
        <v>2223.2120166666659</v>
      </c>
      <c r="T92" s="41">
        <f t="shared" si="13"/>
        <v>3071.4409916666673</v>
      </c>
      <c r="U92" s="41">
        <f t="shared" si="14"/>
        <v>4012.6265666666673</v>
      </c>
      <c r="V92" s="41">
        <f t="shared" si="15"/>
        <v>844.35578333333331</v>
      </c>
      <c r="W92" s="41">
        <f t="shared" si="16"/>
        <v>1475.686025</v>
      </c>
      <c r="X92" s="41">
        <f t="shared" si="17"/>
        <v>2223.2120166666659</v>
      </c>
      <c r="Y92" s="41">
        <f t="shared" si="18"/>
        <v>3071.4409916666673</v>
      </c>
      <c r="Z92" s="41">
        <f t="shared" si="19"/>
        <v>4012.6265666666673</v>
      </c>
    </row>
    <row r="93" spans="1:26" x14ac:dyDescent="0.25">
      <c r="A93" s="93" t="s">
        <v>52</v>
      </c>
      <c r="B93" s="85" t="s">
        <v>214</v>
      </c>
      <c r="C93" s="36">
        <v>0.18430681403256532</v>
      </c>
      <c r="D93" s="36">
        <v>0.28554224648832599</v>
      </c>
      <c r="E93" s="36">
        <v>0.46475194136522141</v>
      </c>
      <c r="F93" s="36">
        <v>0.72002933854517226</v>
      </c>
      <c r="G93" s="36">
        <v>0.64962248187758487</v>
      </c>
      <c r="H93" s="36">
        <v>1.0064449533150317</v>
      </c>
      <c r="I93" s="36">
        <v>0.93269311968610946</v>
      </c>
      <c r="J93" s="36">
        <v>1.44499968749023</v>
      </c>
      <c r="K93" s="36">
        <v>1.2235395364888055</v>
      </c>
      <c r="L93" s="36">
        <v>1.8956012546262551</v>
      </c>
      <c r="M93" s="140" t="s">
        <v>213</v>
      </c>
      <c r="N93" s="43"/>
      <c r="O93" s="144">
        <v>2500</v>
      </c>
      <c r="P93" s="144">
        <v>1</v>
      </c>
      <c r="Q93" s="41">
        <f t="shared" si="10"/>
        <v>713.85561622081502</v>
      </c>
      <c r="R93" s="41">
        <f t="shared" si="11"/>
        <v>1800.0733463629306</v>
      </c>
      <c r="S93" s="41">
        <f t="shared" si="12"/>
        <v>2516.1123832875792</v>
      </c>
      <c r="T93" s="41">
        <f t="shared" si="13"/>
        <v>3612.4992187255748</v>
      </c>
      <c r="U93" s="41">
        <f t="shared" si="14"/>
        <v>4739.0031365656378</v>
      </c>
      <c r="V93" s="41">
        <f t="shared" si="15"/>
        <v>713.85561622081502</v>
      </c>
      <c r="W93" s="41">
        <f t="shared" si="16"/>
        <v>1800.0733463629306</v>
      </c>
      <c r="X93" s="41">
        <f t="shared" si="17"/>
        <v>2516.1123832875792</v>
      </c>
      <c r="Y93" s="41">
        <f t="shared" si="18"/>
        <v>3612.4992187255748</v>
      </c>
      <c r="Z93" s="41">
        <f t="shared" si="19"/>
        <v>4739.0031365656378</v>
      </c>
    </row>
    <row r="94" spans="1:26" x14ac:dyDescent="0.25">
      <c r="A94" s="92" t="s">
        <v>209</v>
      </c>
      <c r="B94" s="85" t="s">
        <v>214</v>
      </c>
      <c r="C94" s="36">
        <v>0.21841359949394204</v>
      </c>
      <c r="D94" s="36">
        <v>0.33838309337864286</v>
      </c>
      <c r="E94" s="36">
        <v>0.51973169525491636</v>
      </c>
      <c r="F94" s="36">
        <v>0.80520818838555264</v>
      </c>
      <c r="G94" s="36">
        <v>0.75996873280127686</v>
      </c>
      <c r="H94" s="36">
        <v>1.1774018251252529</v>
      </c>
      <c r="I94" s="36">
        <v>1.0033584896898251</v>
      </c>
      <c r="J94" s="36">
        <v>1.5544798963783533</v>
      </c>
      <c r="K94" s="36">
        <v>1.3062334225151486</v>
      </c>
      <c r="L94" s="36">
        <v>2.0237169627228608</v>
      </c>
      <c r="M94" s="140" t="s">
        <v>213</v>
      </c>
      <c r="N94" s="43"/>
      <c r="O94" s="144">
        <v>2500</v>
      </c>
      <c r="P94" s="144">
        <v>1</v>
      </c>
      <c r="Q94" s="41">
        <f t="shared" si="10"/>
        <v>845.95773344660711</v>
      </c>
      <c r="R94" s="41">
        <f t="shared" si="11"/>
        <v>2013.0204709638815</v>
      </c>
      <c r="S94" s="41">
        <f t="shared" si="12"/>
        <v>2943.5045628131325</v>
      </c>
      <c r="T94" s="41">
        <f t="shared" si="13"/>
        <v>3886.1997409458831</v>
      </c>
      <c r="U94" s="41">
        <f t="shared" si="14"/>
        <v>5059.2924068071525</v>
      </c>
      <c r="V94" s="41">
        <f t="shared" si="15"/>
        <v>845.95773344660711</v>
      </c>
      <c r="W94" s="41">
        <f t="shared" si="16"/>
        <v>2013.0204709638815</v>
      </c>
      <c r="X94" s="41">
        <f t="shared" si="17"/>
        <v>2943.5045628131325</v>
      </c>
      <c r="Y94" s="41">
        <f t="shared" si="18"/>
        <v>3886.1997409458831</v>
      </c>
      <c r="Z94" s="41">
        <f t="shared" si="19"/>
        <v>5059.2924068071525</v>
      </c>
    </row>
    <row r="95" spans="1:26" x14ac:dyDescent="0.25">
      <c r="A95" s="2" t="s">
        <v>53</v>
      </c>
      <c r="B95" s="87"/>
      <c r="C95" s="37"/>
      <c r="D95" s="36"/>
      <c r="E95" s="36"/>
      <c r="F95" s="36"/>
      <c r="G95" s="36"/>
      <c r="H95" s="36"/>
      <c r="I95" s="37"/>
      <c r="J95" s="36"/>
      <c r="K95" s="37"/>
      <c r="L95" s="37"/>
      <c r="M95" s="141"/>
      <c r="N95" s="43"/>
      <c r="O95" s="144">
        <v>2500</v>
      </c>
      <c r="P95" s="144">
        <v>1</v>
      </c>
      <c r="Q95" s="41">
        <f t="shared" si="10"/>
        <v>0</v>
      </c>
      <c r="R95" s="41">
        <f t="shared" si="11"/>
        <v>0</v>
      </c>
      <c r="S95" s="41">
        <f t="shared" si="12"/>
        <v>0</v>
      </c>
      <c r="T95" s="41">
        <f t="shared" si="13"/>
        <v>0</v>
      </c>
      <c r="U95" s="41">
        <f t="shared" si="14"/>
        <v>0</v>
      </c>
      <c r="V95" s="41">
        <f t="shared" si="15"/>
        <v>0</v>
      </c>
      <c r="W95" s="41">
        <f t="shared" si="16"/>
        <v>0</v>
      </c>
      <c r="X95" s="41">
        <f t="shared" si="17"/>
        <v>0</v>
      </c>
      <c r="Y95" s="41">
        <f t="shared" si="18"/>
        <v>0</v>
      </c>
      <c r="Z95" s="41">
        <f t="shared" si="19"/>
        <v>0</v>
      </c>
    </row>
    <row r="96" spans="1:26" x14ac:dyDescent="0.25">
      <c r="A96" s="92" t="s">
        <v>54</v>
      </c>
      <c r="B96" s="85" t="s">
        <v>214</v>
      </c>
      <c r="C96" s="36">
        <v>0.1588783245860548</v>
      </c>
      <c r="D96" s="36">
        <v>0.35046440026022546</v>
      </c>
      <c r="E96" s="36">
        <v>0.33067416033692204</v>
      </c>
      <c r="F96" s="36">
        <v>0.72942310781520503</v>
      </c>
      <c r="G96" s="36">
        <v>0.52057743788682687</v>
      </c>
      <c r="H96" s="36">
        <v>1.1483244176532885</v>
      </c>
      <c r="I96" s="36">
        <v>0.61808392924993483</v>
      </c>
      <c r="J96" s="36">
        <v>1.3634107367347896</v>
      </c>
      <c r="K96" s="36">
        <v>0.84738961741264107</v>
      </c>
      <c r="L96" s="36">
        <v>1.8692285107299644</v>
      </c>
      <c r="M96" s="140" t="s">
        <v>213</v>
      </c>
      <c r="N96" s="43"/>
      <c r="O96" s="144">
        <v>2500</v>
      </c>
      <c r="P96" s="144">
        <v>1</v>
      </c>
      <c r="Q96" s="41">
        <f t="shared" si="10"/>
        <v>876.16100065056366</v>
      </c>
      <c r="R96" s="41">
        <f t="shared" si="11"/>
        <v>1823.5577695380125</v>
      </c>
      <c r="S96" s="41">
        <f t="shared" si="12"/>
        <v>2870.8110441332215</v>
      </c>
      <c r="T96" s="41">
        <f t="shared" si="13"/>
        <v>3408.5268418369742</v>
      </c>
      <c r="U96" s="41">
        <f t="shared" si="14"/>
        <v>4673.0712768249114</v>
      </c>
      <c r="V96" s="41">
        <f t="shared" si="15"/>
        <v>876.16100065056366</v>
      </c>
      <c r="W96" s="41">
        <f t="shared" si="16"/>
        <v>1823.5577695380125</v>
      </c>
      <c r="X96" s="41">
        <f t="shared" si="17"/>
        <v>2870.8110441332215</v>
      </c>
      <c r="Y96" s="41">
        <f t="shared" si="18"/>
        <v>3408.5268418369742</v>
      </c>
      <c r="Z96" s="41">
        <f t="shared" si="19"/>
        <v>4673.0712768249114</v>
      </c>
    </row>
    <row r="97" spans="1:26" x14ac:dyDescent="0.25">
      <c r="A97" s="92" t="s">
        <v>210</v>
      </c>
      <c r="B97" s="85" t="s">
        <v>214</v>
      </c>
      <c r="C97" s="36">
        <v>0.33402828749429769</v>
      </c>
      <c r="D97" s="36">
        <v>0.34624258854033912</v>
      </c>
      <c r="E97" s="36">
        <v>0.61179325145087948</v>
      </c>
      <c r="F97" s="36">
        <v>0.63416449134559993</v>
      </c>
      <c r="G97" s="36">
        <v>1.2507329958097388</v>
      </c>
      <c r="H97" s="36">
        <v>1.2964681323565146</v>
      </c>
      <c r="I97" s="36">
        <v>2.7761715625814669</v>
      </c>
      <c r="J97" s="36">
        <v>2.8776869027198626</v>
      </c>
      <c r="K97" s="36">
        <v>3.2847516435067581</v>
      </c>
      <c r="L97" s="36">
        <v>3.4048640619376549</v>
      </c>
      <c r="M97" s="140" t="s">
        <v>213</v>
      </c>
      <c r="N97" s="43"/>
      <c r="O97" s="144">
        <v>2500</v>
      </c>
      <c r="P97" s="144">
        <v>1</v>
      </c>
      <c r="Q97" s="41">
        <f t="shared" si="10"/>
        <v>865.60647135084776</v>
      </c>
      <c r="R97" s="41">
        <f t="shared" si="11"/>
        <v>1585.4112283639997</v>
      </c>
      <c r="S97" s="41">
        <f t="shared" si="12"/>
        <v>3241.1703308912865</v>
      </c>
      <c r="T97" s="41">
        <f t="shared" si="13"/>
        <v>7194.2172567996568</v>
      </c>
      <c r="U97" s="41">
        <f t="shared" si="14"/>
        <v>8512.1601548441377</v>
      </c>
      <c r="V97" s="41">
        <f t="shared" si="15"/>
        <v>865.60647135084776</v>
      </c>
      <c r="W97" s="41">
        <f t="shared" si="16"/>
        <v>1585.4112283639997</v>
      </c>
      <c r="X97" s="41">
        <f t="shared" si="17"/>
        <v>3241.1703308912865</v>
      </c>
      <c r="Y97" s="41">
        <f t="shared" si="18"/>
        <v>7194.2172567996568</v>
      </c>
      <c r="Z97" s="41">
        <f t="shared" si="19"/>
        <v>8512.1601548441377</v>
      </c>
    </row>
    <row r="98" spans="1:26" x14ac:dyDescent="0.25">
      <c r="A98" s="2" t="s">
        <v>55</v>
      </c>
      <c r="B98" s="87"/>
      <c r="C98" s="36"/>
      <c r="D98" s="36"/>
      <c r="E98" s="36"/>
      <c r="F98" s="36"/>
      <c r="G98" s="36"/>
      <c r="H98" s="37"/>
      <c r="I98" s="37"/>
      <c r="J98" s="37"/>
      <c r="K98" s="37"/>
      <c r="L98" s="36"/>
      <c r="M98" s="141"/>
      <c r="N98" s="43"/>
      <c r="O98" s="144">
        <v>2500</v>
      </c>
      <c r="P98" s="144">
        <v>1</v>
      </c>
      <c r="Q98" s="41">
        <f t="shared" si="10"/>
        <v>0</v>
      </c>
      <c r="R98" s="41">
        <f t="shared" si="11"/>
        <v>0</v>
      </c>
      <c r="S98" s="41">
        <f t="shared" si="12"/>
        <v>0</v>
      </c>
      <c r="T98" s="41">
        <f t="shared" si="13"/>
        <v>0</v>
      </c>
      <c r="U98" s="41">
        <f t="shared" si="14"/>
        <v>0</v>
      </c>
      <c r="V98" s="41">
        <f t="shared" si="15"/>
        <v>0</v>
      </c>
      <c r="W98" s="41">
        <f t="shared" si="16"/>
        <v>0</v>
      </c>
      <c r="X98" s="41">
        <f t="shared" si="17"/>
        <v>0</v>
      </c>
      <c r="Y98" s="41">
        <f t="shared" si="18"/>
        <v>0</v>
      </c>
      <c r="Z98" s="41">
        <f t="shared" si="19"/>
        <v>0</v>
      </c>
    </row>
    <row r="99" spans="1:26" x14ac:dyDescent="0.25">
      <c r="A99" s="92" t="s">
        <v>180</v>
      </c>
      <c r="B99" s="85" t="s">
        <v>214</v>
      </c>
      <c r="C99" s="36">
        <v>1.7875108881303933E-2</v>
      </c>
      <c r="D99" s="36">
        <v>4.8828839094095237E-2</v>
      </c>
      <c r="E99" s="36">
        <v>2.2343886101629917E-2</v>
      </c>
      <c r="F99" s="36">
        <v>6.1036048867619055E-2</v>
      </c>
      <c r="G99" s="36">
        <v>4.6570343702280768E-2</v>
      </c>
      <c r="H99" s="36">
        <v>0.12721465554673028</v>
      </c>
      <c r="I99" s="36">
        <v>5.4332067652660895E-2</v>
      </c>
      <c r="J99" s="36">
        <v>0.148417098137852</v>
      </c>
      <c r="K99" s="36">
        <v>6.2093791603041029E-2</v>
      </c>
      <c r="L99" s="36">
        <v>0.16961954072897373</v>
      </c>
      <c r="M99" s="140" t="s">
        <v>213</v>
      </c>
      <c r="N99" s="43"/>
      <c r="O99" s="144">
        <v>2500</v>
      </c>
      <c r="P99" s="144">
        <v>1</v>
      </c>
      <c r="Q99" s="41">
        <f t="shared" si="10"/>
        <v>122.07209773523809</v>
      </c>
      <c r="R99" s="41">
        <f t="shared" si="11"/>
        <v>152.59012216904765</v>
      </c>
      <c r="S99" s="41">
        <f t="shared" si="12"/>
        <v>318.03663886682568</v>
      </c>
      <c r="T99" s="41">
        <f t="shared" si="13"/>
        <v>371.04274534463002</v>
      </c>
      <c r="U99" s="41">
        <f t="shared" si="14"/>
        <v>424.0488518224343</v>
      </c>
      <c r="V99" s="41">
        <f t="shared" si="15"/>
        <v>122.07209773523809</v>
      </c>
      <c r="W99" s="41">
        <f t="shared" si="16"/>
        <v>152.59012216904765</v>
      </c>
      <c r="X99" s="41">
        <f t="shared" si="17"/>
        <v>318.03663886682568</v>
      </c>
      <c r="Y99" s="41">
        <f t="shared" si="18"/>
        <v>371.04274534463002</v>
      </c>
      <c r="Z99" s="41">
        <f t="shared" si="19"/>
        <v>424.0488518224343</v>
      </c>
    </row>
    <row r="100" spans="1:26" x14ac:dyDescent="0.25">
      <c r="A100" s="39" t="s">
        <v>57</v>
      </c>
      <c r="B100" s="96" t="s">
        <v>218</v>
      </c>
      <c r="C100" s="36">
        <v>3.5333333333333328E-2</v>
      </c>
      <c r="D100" s="36">
        <v>9.7572823333333336E-2</v>
      </c>
      <c r="E100" s="36">
        <v>4.4166666666666667E-2</v>
      </c>
      <c r="F100" s="36">
        <v>0.12196602916666668</v>
      </c>
      <c r="G100" s="36">
        <v>5.2999999999999999E-2</v>
      </c>
      <c r="H100" s="36">
        <v>0.146359235</v>
      </c>
      <c r="I100" s="36">
        <v>6.183333333333333E-2</v>
      </c>
      <c r="J100" s="36">
        <v>0.17075244083333332</v>
      </c>
      <c r="K100" s="37">
        <v>7.0666666666666655E-2</v>
      </c>
      <c r="L100" s="36">
        <v>0.19514564666666667</v>
      </c>
      <c r="M100" s="139" t="s">
        <v>130</v>
      </c>
      <c r="N100" s="43" t="s">
        <v>131</v>
      </c>
      <c r="O100" s="144">
        <v>2500</v>
      </c>
      <c r="P100" s="144">
        <v>1</v>
      </c>
      <c r="Q100" s="41">
        <f t="shared" si="10"/>
        <v>243.93205833333334</v>
      </c>
      <c r="R100" s="41">
        <f t="shared" si="11"/>
        <v>304.9150729166667</v>
      </c>
      <c r="S100" s="41">
        <f t="shared" si="12"/>
        <v>365.89808750000003</v>
      </c>
      <c r="T100" s="41">
        <f t="shared" si="13"/>
        <v>426.8811020833333</v>
      </c>
      <c r="U100" s="41">
        <f t="shared" si="14"/>
        <v>487.86411666666669</v>
      </c>
      <c r="V100" s="41">
        <f t="shared" si="15"/>
        <v>243.93205833333334</v>
      </c>
      <c r="W100" s="41">
        <f t="shared" si="16"/>
        <v>304.9150729166667</v>
      </c>
      <c r="X100" s="41">
        <f t="shared" si="17"/>
        <v>365.89808750000003</v>
      </c>
      <c r="Y100" s="41">
        <f t="shared" si="18"/>
        <v>426.8811020833333</v>
      </c>
      <c r="Z100" s="41">
        <f t="shared" si="19"/>
        <v>487.86411666666669</v>
      </c>
    </row>
    <row r="101" spans="1:26" x14ac:dyDescent="0.25">
      <c r="A101" s="93" t="s">
        <v>57</v>
      </c>
      <c r="B101" s="85" t="s">
        <v>214</v>
      </c>
      <c r="C101" s="36">
        <v>1.4848292609940923E-2</v>
      </c>
      <c r="D101" s="36">
        <v>4.1003485800888813E-2</v>
      </c>
      <c r="E101" s="36">
        <v>1.8560365762426152E-2</v>
      </c>
      <c r="F101" s="36">
        <v>5.1254357251111014E-2</v>
      </c>
      <c r="G101" s="36">
        <v>3.5327485281266127E-2</v>
      </c>
      <c r="H101" s="36">
        <v>9.7556673966789992E-2</v>
      </c>
      <c r="I101" s="36">
        <v>4.1215399494810484E-2</v>
      </c>
      <c r="J101" s="36">
        <v>0.11381611962792167</v>
      </c>
      <c r="K101" s="36">
        <v>4.7103313708354841E-2</v>
      </c>
      <c r="L101" s="36">
        <v>0.13007556528905334</v>
      </c>
      <c r="M101" s="140" t="s">
        <v>213</v>
      </c>
      <c r="N101" s="43"/>
      <c r="O101" s="144">
        <v>2500</v>
      </c>
      <c r="P101" s="144">
        <v>1</v>
      </c>
      <c r="Q101" s="41">
        <f t="shared" si="10"/>
        <v>102.50871450222203</v>
      </c>
      <c r="R101" s="41">
        <f t="shared" si="11"/>
        <v>128.13589312777754</v>
      </c>
      <c r="S101" s="41">
        <f t="shared" si="12"/>
        <v>243.89168491697498</v>
      </c>
      <c r="T101" s="41">
        <f t="shared" si="13"/>
        <v>284.54029906980418</v>
      </c>
      <c r="U101" s="41">
        <f t="shared" si="14"/>
        <v>325.18891322263335</v>
      </c>
      <c r="V101" s="41">
        <f t="shared" si="15"/>
        <v>102.50871450222203</v>
      </c>
      <c r="W101" s="41">
        <f t="shared" si="16"/>
        <v>128.13589312777754</v>
      </c>
      <c r="X101" s="41">
        <f t="shared" si="17"/>
        <v>243.89168491697498</v>
      </c>
      <c r="Y101" s="41">
        <f t="shared" si="18"/>
        <v>284.54029906980418</v>
      </c>
      <c r="Z101" s="41">
        <f t="shared" si="19"/>
        <v>325.18891322263335</v>
      </c>
    </row>
    <row r="102" spans="1:26" x14ac:dyDescent="0.25">
      <c r="A102" s="92" t="s">
        <v>58</v>
      </c>
      <c r="B102" s="85" t="s">
        <v>214</v>
      </c>
      <c r="C102" s="36">
        <v>1.4033784511862425E-2</v>
      </c>
      <c r="D102" s="36">
        <v>4.3569848746908557E-2</v>
      </c>
      <c r="E102" s="36">
        <v>1.754223063982803E-2</v>
      </c>
      <c r="F102" s="36">
        <v>5.4462310933635683E-2</v>
      </c>
      <c r="G102" s="36">
        <v>2.1050676767793638E-2</v>
      </c>
      <c r="H102" s="36">
        <v>6.5354773120362836E-2</v>
      </c>
      <c r="I102" s="36">
        <v>3.3104626383453767E-2</v>
      </c>
      <c r="J102" s="36">
        <v>0.1027779472551259</v>
      </c>
      <c r="K102" s="36">
        <v>3.7833858723947164E-2</v>
      </c>
      <c r="L102" s="36">
        <v>0.11746051114871532</v>
      </c>
      <c r="M102" s="140" t="s">
        <v>213</v>
      </c>
      <c r="N102" s="43"/>
      <c r="O102" s="144">
        <v>2500</v>
      </c>
      <c r="P102" s="144">
        <v>1</v>
      </c>
      <c r="Q102" s="41">
        <f t="shared" si="10"/>
        <v>108.9246218672714</v>
      </c>
      <c r="R102" s="41">
        <f t="shared" si="11"/>
        <v>136.15577733408921</v>
      </c>
      <c r="S102" s="41">
        <f t="shared" si="12"/>
        <v>163.38693280090709</v>
      </c>
      <c r="T102" s="41">
        <f t="shared" si="13"/>
        <v>256.94486813781475</v>
      </c>
      <c r="U102" s="41">
        <f t="shared" si="14"/>
        <v>293.6512778717883</v>
      </c>
      <c r="V102" s="41">
        <f t="shared" si="15"/>
        <v>108.9246218672714</v>
      </c>
      <c r="W102" s="41">
        <f t="shared" si="16"/>
        <v>136.15577733408921</v>
      </c>
      <c r="X102" s="41">
        <f t="shared" si="17"/>
        <v>163.38693280090709</v>
      </c>
      <c r="Y102" s="41">
        <f t="shared" si="18"/>
        <v>256.94486813781475</v>
      </c>
      <c r="Z102" s="41">
        <f t="shared" si="19"/>
        <v>293.6512778717883</v>
      </c>
    </row>
    <row r="103" spans="1:26" x14ac:dyDescent="0.25">
      <c r="A103" s="39" t="s">
        <v>59</v>
      </c>
      <c r="B103" s="96" t="s">
        <v>218</v>
      </c>
      <c r="C103" s="36">
        <v>3.7999999999999999E-2</v>
      </c>
      <c r="D103" s="36">
        <v>7.9411640000000006E-2</v>
      </c>
      <c r="E103" s="36">
        <v>4.7500000000000001E-2</v>
      </c>
      <c r="F103" s="36">
        <v>9.9264549999999993E-2</v>
      </c>
      <c r="G103" s="36">
        <v>5.7000000000000002E-2</v>
      </c>
      <c r="H103" s="36">
        <v>0.11911745999999999</v>
      </c>
      <c r="I103" s="36">
        <v>6.6500000000000004E-2</v>
      </c>
      <c r="J103" s="36">
        <v>0.13897037000000001</v>
      </c>
      <c r="K103" s="37">
        <v>7.5999999999999998E-2</v>
      </c>
      <c r="L103" s="36">
        <v>0.15882328000000001</v>
      </c>
      <c r="M103" s="139" t="s">
        <v>130</v>
      </c>
      <c r="N103" s="43" t="s">
        <v>131</v>
      </c>
      <c r="O103" s="144">
        <v>2500</v>
      </c>
      <c r="P103" s="144">
        <v>1</v>
      </c>
      <c r="Q103" s="41">
        <f t="shared" si="10"/>
        <v>198.52910000000003</v>
      </c>
      <c r="R103" s="41">
        <f t="shared" si="11"/>
        <v>248.16137499999999</v>
      </c>
      <c r="S103" s="41">
        <f t="shared" si="12"/>
        <v>297.79365000000001</v>
      </c>
      <c r="T103" s="41">
        <f t="shared" si="13"/>
        <v>347.42592500000001</v>
      </c>
      <c r="U103" s="41">
        <f t="shared" si="14"/>
        <v>397.05820000000006</v>
      </c>
      <c r="V103" s="41">
        <f t="shared" si="15"/>
        <v>198.52910000000003</v>
      </c>
      <c r="W103" s="41">
        <f t="shared" si="16"/>
        <v>248.16137499999999</v>
      </c>
      <c r="X103" s="41">
        <f t="shared" si="17"/>
        <v>297.79365000000001</v>
      </c>
      <c r="Y103" s="41">
        <f t="shared" si="18"/>
        <v>347.42592500000001</v>
      </c>
      <c r="Z103" s="41">
        <f t="shared" si="19"/>
        <v>397.05820000000006</v>
      </c>
    </row>
    <row r="104" spans="1:26" x14ac:dyDescent="0.25">
      <c r="A104" s="93" t="s">
        <v>59</v>
      </c>
      <c r="B104" s="85" t="s">
        <v>214</v>
      </c>
      <c r="C104" s="36">
        <v>2.6624296652618271E-2</v>
      </c>
      <c r="D104" s="36">
        <v>5.5638922658708602E-2</v>
      </c>
      <c r="E104" s="36">
        <v>3.3280370815772835E-2</v>
      </c>
      <c r="F104" s="36">
        <v>6.9548653323385751E-2</v>
      </c>
      <c r="G104" s="36">
        <v>8.5655255515471082E-2</v>
      </c>
      <c r="H104" s="36">
        <v>0.17900063987112114</v>
      </c>
      <c r="I104" s="36">
        <v>9.9931131434716255E-2</v>
      </c>
      <c r="J104" s="36">
        <v>0.20883407984964134</v>
      </c>
      <c r="K104" s="36">
        <v>0.11420700735396144</v>
      </c>
      <c r="L104" s="36">
        <v>0.23866751982816153</v>
      </c>
      <c r="M104" s="140" t="s">
        <v>213</v>
      </c>
      <c r="N104" s="43"/>
      <c r="O104" s="144">
        <v>2500</v>
      </c>
      <c r="P104" s="144">
        <v>1</v>
      </c>
      <c r="Q104" s="41">
        <f t="shared" si="10"/>
        <v>139.0973066467715</v>
      </c>
      <c r="R104" s="41">
        <f t="shared" si="11"/>
        <v>173.87163330846437</v>
      </c>
      <c r="S104" s="41">
        <f t="shared" si="12"/>
        <v>447.50159967780286</v>
      </c>
      <c r="T104" s="41">
        <f t="shared" si="13"/>
        <v>522.08519962410332</v>
      </c>
      <c r="U104" s="41">
        <f t="shared" si="14"/>
        <v>596.66879957040385</v>
      </c>
      <c r="V104" s="41">
        <f t="shared" si="15"/>
        <v>139.0973066467715</v>
      </c>
      <c r="W104" s="41">
        <f t="shared" si="16"/>
        <v>173.87163330846437</v>
      </c>
      <c r="X104" s="41">
        <f t="shared" si="17"/>
        <v>447.50159967780286</v>
      </c>
      <c r="Y104" s="41">
        <f t="shared" si="18"/>
        <v>522.08519962410332</v>
      </c>
      <c r="Z104" s="41">
        <f t="shared" si="19"/>
        <v>596.66879957040385</v>
      </c>
    </row>
    <row r="105" spans="1:26" x14ac:dyDescent="0.25">
      <c r="A105" s="92" t="s">
        <v>60</v>
      </c>
      <c r="B105" s="85" t="s">
        <v>214</v>
      </c>
      <c r="C105" s="36">
        <v>3.0960646267520889E-2</v>
      </c>
      <c r="D105" s="36">
        <v>6.8552185747233832E-2</v>
      </c>
      <c r="E105" s="36">
        <v>5.5535418063081127E-2</v>
      </c>
      <c r="F105" s="36">
        <v>0.12296494917176243</v>
      </c>
      <c r="G105" s="36">
        <v>6.6642501675697352E-2</v>
      </c>
      <c r="H105" s="36">
        <v>0.14755793900611491</v>
      </c>
      <c r="I105" s="36">
        <v>0.10425333573826619</v>
      </c>
      <c r="J105" s="36">
        <v>0.23083478214715636</v>
      </c>
      <c r="K105" s="36">
        <v>0.11914666941516135</v>
      </c>
      <c r="L105" s="36">
        <v>0.26381117959675016</v>
      </c>
      <c r="M105" s="140" t="s">
        <v>213</v>
      </c>
      <c r="N105" s="43"/>
      <c r="O105" s="144">
        <v>2500</v>
      </c>
      <c r="P105" s="144">
        <v>1</v>
      </c>
      <c r="Q105" s="41">
        <f t="shared" si="10"/>
        <v>171.38046436808457</v>
      </c>
      <c r="R105" s="41">
        <f t="shared" si="11"/>
        <v>307.41237292940605</v>
      </c>
      <c r="S105" s="41">
        <f t="shared" si="12"/>
        <v>368.89484751528727</v>
      </c>
      <c r="T105" s="41">
        <f t="shared" si="13"/>
        <v>577.08695536789094</v>
      </c>
      <c r="U105" s="41">
        <f t="shared" si="14"/>
        <v>659.52794899187541</v>
      </c>
      <c r="V105" s="41">
        <f t="shared" si="15"/>
        <v>171.38046436808457</v>
      </c>
      <c r="W105" s="41">
        <f t="shared" si="16"/>
        <v>307.41237292940605</v>
      </c>
      <c r="X105" s="41">
        <f t="shared" si="17"/>
        <v>368.89484751528727</v>
      </c>
      <c r="Y105" s="41">
        <f t="shared" si="18"/>
        <v>577.08695536789094</v>
      </c>
      <c r="Z105" s="41">
        <f t="shared" si="19"/>
        <v>659.52794899187541</v>
      </c>
    </row>
    <row r="106" spans="1:26" x14ac:dyDescent="0.25">
      <c r="A106" s="39" t="s">
        <v>61</v>
      </c>
      <c r="B106" s="96" t="s">
        <v>218</v>
      </c>
      <c r="C106" s="36">
        <v>3.8399999999999997E-2</v>
      </c>
      <c r="D106" s="36">
        <v>0.10572883199999998</v>
      </c>
      <c r="E106" s="36">
        <v>4.8000000000000001E-2</v>
      </c>
      <c r="F106" s="36">
        <v>0.13216104000000001</v>
      </c>
      <c r="G106" s="36">
        <v>5.7599999999999991E-2</v>
      </c>
      <c r="H106" s="36">
        <v>0.15859324799999999</v>
      </c>
      <c r="I106" s="36">
        <v>6.720000000000001E-2</v>
      </c>
      <c r="J106" s="36">
        <v>0.18502545600000006</v>
      </c>
      <c r="K106" s="37">
        <v>7.6799999999999993E-2</v>
      </c>
      <c r="L106" s="36">
        <v>0.21145766399999996</v>
      </c>
      <c r="M106" s="139" t="s">
        <v>130</v>
      </c>
      <c r="N106" s="43" t="s">
        <v>131</v>
      </c>
      <c r="O106" s="144">
        <v>2500</v>
      </c>
      <c r="P106" s="144">
        <v>1</v>
      </c>
      <c r="Q106" s="41">
        <f t="shared" si="10"/>
        <v>264.32207999999997</v>
      </c>
      <c r="R106" s="41">
        <f t="shared" si="11"/>
        <v>330.40260000000001</v>
      </c>
      <c r="S106" s="41">
        <f t="shared" si="12"/>
        <v>396.48311999999999</v>
      </c>
      <c r="T106" s="41">
        <f t="shared" si="13"/>
        <v>462.56364000000013</v>
      </c>
      <c r="U106" s="41">
        <f t="shared" si="14"/>
        <v>528.64415999999994</v>
      </c>
      <c r="V106" s="41">
        <f t="shared" si="15"/>
        <v>264.32207999999997</v>
      </c>
      <c r="W106" s="41">
        <f t="shared" si="16"/>
        <v>330.40260000000001</v>
      </c>
      <c r="X106" s="41">
        <f t="shared" si="17"/>
        <v>396.48311999999999</v>
      </c>
      <c r="Y106" s="41">
        <f t="shared" si="18"/>
        <v>462.56364000000013</v>
      </c>
      <c r="Z106" s="41">
        <f t="shared" si="19"/>
        <v>528.64415999999994</v>
      </c>
    </row>
    <row r="107" spans="1:26" x14ac:dyDescent="0.25">
      <c r="A107" s="93" t="s">
        <v>61</v>
      </c>
      <c r="B107" s="85" t="s">
        <v>214</v>
      </c>
      <c r="C107" s="36">
        <v>1.9354648683058993E-2</v>
      </c>
      <c r="D107" s="36">
        <v>5.3290218724743897E-2</v>
      </c>
      <c r="E107" s="36">
        <v>2.4193310853823743E-2</v>
      </c>
      <c r="F107" s="36">
        <v>6.6612773405929887E-2</v>
      </c>
      <c r="G107" s="36">
        <v>5.3727881844045491E-2</v>
      </c>
      <c r="H107" s="36">
        <v>0.14793193211471187</v>
      </c>
      <c r="I107" s="36">
        <v>6.2682528818053071E-2</v>
      </c>
      <c r="J107" s="36">
        <v>0.17258725413383053</v>
      </c>
      <c r="K107" s="36">
        <v>7.1637175792060651E-2</v>
      </c>
      <c r="L107" s="36">
        <v>0.19724257615294916</v>
      </c>
      <c r="M107" s="140" t="s">
        <v>213</v>
      </c>
      <c r="N107" s="43"/>
      <c r="O107" s="144">
        <v>2500</v>
      </c>
      <c r="P107" s="144">
        <v>1</v>
      </c>
      <c r="Q107" s="41">
        <f t="shared" si="10"/>
        <v>133.22554681185974</v>
      </c>
      <c r="R107" s="41">
        <f t="shared" si="11"/>
        <v>166.53193351482471</v>
      </c>
      <c r="S107" s="41">
        <f t="shared" si="12"/>
        <v>369.82983028677967</v>
      </c>
      <c r="T107" s="41">
        <f t="shared" si="13"/>
        <v>431.46813533457629</v>
      </c>
      <c r="U107" s="41">
        <f t="shared" si="14"/>
        <v>493.10644038237291</v>
      </c>
      <c r="V107" s="41">
        <f t="shared" si="15"/>
        <v>133.22554681185974</v>
      </c>
      <c r="W107" s="41">
        <f t="shared" si="16"/>
        <v>166.53193351482471</v>
      </c>
      <c r="X107" s="41">
        <f t="shared" si="17"/>
        <v>369.82983028677967</v>
      </c>
      <c r="Y107" s="41">
        <f t="shared" si="18"/>
        <v>431.46813533457629</v>
      </c>
      <c r="Z107" s="41">
        <f t="shared" si="19"/>
        <v>493.10644038237291</v>
      </c>
    </row>
    <row r="108" spans="1:26" x14ac:dyDescent="0.25">
      <c r="A108" s="38" t="s">
        <v>62</v>
      </c>
      <c r="B108" s="88" t="s">
        <v>242</v>
      </c>
      <c r="C108" s="36"/>
      <c r="D108" s="36">
        <v>2.4741729460580914E-2</v>
      </c>
      <c r="E108" s="36"/>
      <c r="F108" s="36">
        <v>4.2108132132132131E-2</v>
      </c>
      <c r="G108" s="36"/>
      <c r="H108" s="36">
        <v>9.8011439904799699E-2</v>
      </c>
      <c r="I108" s="36"/>
      <c r="J108" s="36">
        <v>0.2209103448275862</v>
      </c>
      <c r="K108" s="36"/>
      <c r="L108" s="36">
        <v>0.4726752487309645</v>
      </c>
      <c r="M108" s="28" t="s">
        <v>81</v>
      </c>
      <c r="N108" s="43"/>
      <c r="O108" s="144">
        <v>2500</v>
      </c>
      <c r="P108" s="144">
        <v>1</v>
      </c>
      <c r="Q108" s="41">
        <f t="shared" si="10"/>
        <v>61.854323651452283</v>
      </c>
      <c r="R108" s="41">
        <f t="shared" si="11"/>
        <v>105.27033033033032</v>
      </c>
      <c r="S108" s="41">
        <f t="shared" si="12"/>
        <v>245.02859976199926</v>
      </c>
      <c r="T108" s="41">
        <f t="shared" si="13"/>
        <v>552.27586206896547</v>
      </c>
      <c r="U108" s="41">
        <f t="shared" si="14"/>
        <v>1181.6881218274114</v>
      </c>
      <c r="V108" s="41">
        <f t="shared" si="15"/>
        <v>61.854323651452283</v>
      </c>
      <c r="W108" s="41">
        <f t="shared" si="16"/>
        <v>105.27033033033032</v>
      </c>
      <c r="X108" s="41">
        <f t="shared" si="17"/>
        <v>245.02859976199926</v>
      </c>
      <c r="Y108" s="41">
        <f t="shared" si="18"/>
        <v>552.27586206896547</v>
      </c>
      <c r="Z108" s="41">
        <f t="shared" si="19"/>
        <v>1181.6881218274114</v>
      </c>
    </row>
    <row r="109" spans="1:26" x14ac:dyDescent="0.25">
      <c r="A109" s="39" t="s">
        <v>62</v>
      </c>
      <c r="B109" s="96" t="s">
        <v>218</v>
      </c>
      <c r="C109" s="36">
        <v>5.6500000000000002E-2</v>
      </c>
      <c r="D109" s="36">
        <v>0.11807257</v>
      </c>
      <c r="E109" s="36">
        <v>7.0624999999999993E-2</v>
      </c>
      <c r="F109" s="36">
        <v>0.1475907125</v>
      </c>
      <c r="G109" s="36">
        <v>8.4750000000000006E-2</v>
      </c>
      <c r="H109" s="36">
        <v>0.17710885500000004</v>
      </c>
      <c r="I109" s="36">
        <v>9.8875000000000005E-2</v>
      </c>
      <c r="J109" s="36">
        <v>0.20662699749999999</v>
      </c>
      <c r="K109" s="37">
        <v>0.113</v>
      </c>
      <c r="L109" s="36">
        <v>0.23614514</v>
      </c>
      <c r="M109" s="139" t="s">
        <v>130</v>
      </c>
      <c r="N109" s="43" t="s">
        <v>148</v>
      </c>
      <c r="O109" s="144">
        <v>2500</v>
      </c>
      <c r="P109" s="144">
        <v>1</v>
      </c>
      <c r="Q109" s="41">
        <f t="shared" si="10"/>
        <v>295.18142499999999</v>
      </c>
      <c r="R109" s="41">
        <f t="shared" si="11"/>
        <v>368.97678124999999</v>
      </c>
      <c r="S109" s="41">
        <f t="shared" si="12"/>
        <v>442.7721375000001</v>
      </c>
      <c r="T109" s="41">
        <f t="shared" si="13"/>
        <v>516.56749374999993</v>
      </c>
      <c r="U109" s="41">
        <f t="shared" si="14"/>
        <v>590.36284999999998</v>
      </c>
      <c r="V109" s="41">
        <f t="shared" si="15"/>
        <v>295.18142499999999</v>
      </c>
      <c r="W109" s="41">
        <f t="shared" si="16"/>
        <v>368.97678124999999</v>
      </c>
      <c r="X109" s="41">
        <f t="shared" si="17"/>
        <v>442.7721375000001</v>
      </c>
      <c r="Y109" s="41">
        <f t="shared" si="18"/>
        <v>516.56749374999993</v>
      </c>
      <c r="Z109" s="41">
        <f t="shared" si="19"/>
        <v>590.36284999999998</v>
      </c>
    </row>
    <row r="110" spans="1:26" x14ac:dyDescent="0.25">
      <c r="A110" s="93" t="s">
        <v>62</v>
      </c>
      <c r="B110" s="85" t="s">
        <v>214</v>
      </c>
      <c r="C110" s="36">
        <v>3.3837493759715447E-2</v>
      </c>
      <c r="D110" s="36">
        <v>7.0712917709178133E-2</v>
      </c>
      <c r="E110" s="36">
        <v>7.6750370757631942E-2</v>
      </c>
      <c r="F110" s="36">
        <v>0.16039138980188405</v>
      </c>
      <c r="G110" s="36">
        <v>9.2100444909158335E-2</v>
      </c>
      <c r="H110" s="36">
        <v>0.1924696677622609</v>
      </c>
      <c r="I110" s="36">
        <v>0.10745051906068473</v>
      </c>
      <c r="J110" s="36">
        <v>0.2245479457226377</v>
      </c>
      <c r="K110" s="36">
        <v>0.16228837751151071</v>
      </c>
      <c r="L110" s="36">
        <v>0.3391470055560048</v>
      </c>
      <c r="M110" s="140" t="s">
        <v>213</v>
      </c>
      <c r="N110" s="43"/>
      <c r="O110" s="144">
        <v>2500</v>
      </c>
      <c r="P110" s="144">
        <v>1</v>
      </c>
      <c r="Q110" s="41">
        <f t="shared" si="10"/>
        <v>176.78229427294534</v>
      </c>
      <c r="R110" s="41">
        <f t="shared" si="11"/>
        <v>400.97847450471016</v>
      </c>
      <c r="S110" s="41">
        <f t="shared" si="12"/>
        <v>481.17416940565226</v>
      </c>
      <c r="T110" s="41">
        <f t="shared" si="13"/>
        <v>561.3698643065942</v>
      </c>
      <c r="U110" s="41">
        <f t="shared" si="14"/>
        <v>847.86751389001199</v>
      </c>
      <c r="V110" s="41">
        <f t="shared" si="15"/>
        <v>176.78229427294534</v>
      </c>
      <c r="W110" s="41">
        <f t="shared" si="16"/>
        <v>400.97847450471016</v>
      </c>
      <c r="X110" s="41">
        <f t="shared" si="17"/>
        <v>481.17416940565226</v>
      </c>
      <c r="Y110" s="41">
        <f t="shared" si="18"/>
        <v>561.3698643065942</v>
      </c>
      <c r="Z110" s="41">
        <f t="shared" si="19"/>
        <v>847.86751389001199</v>
      </c>
    </row>
    <row r="111" spans="1:26" x14ac:dyDescent="0.25">
      <c r="A111" s="136" t="s">
        <v>62</v>
      </c>
      <c r="B111" s="135" t="s">
        <v>246</v>
      </c>
      <c r="C111" s="36"/>
      <c r="D111" s="36">
        <v>3.3775316398753537E-2</v>
      </c>
      <c r="E111" s="36"/>
      <c r="F111" s="36">
        <v>5.9661138638327713E-2</v>
      </c>
      <c r="G111" s="36"/>
      <c r="H111" s="36">
        <v>0.1188606916457756</v>
      </c>
      <c r="I111" s="36"/>
      <c r="J111" s="36">
        <v>0.21498591506157547</v>
      </c>
      <c r="K111" s="36"/>
      <c r="L111" s="36">
        <v>0.34811559038749534</v>
      </c>
      <c r="M111" s="142" t="s">
        <v>85</v>
      </c>
      <c r="N111" s="43"/>
      <c r="O111" s="144">
        <v>2500</v>
      </c>
      <c r="P111" s="144">
        <v>1</v>
      </c>
      <c r="Q111" s="41">
        <f t="shared" si="10"/>
        <v>84.438290996883836</v>
      </c>
      <c r="R111" s="41">
        <f t="shared" si="11"/>
        <v>149.15284659581928</v>
      </c>
      <c r="S111" s="41">
        <f t="shared" si="12"/>
        <v>297.15172911443904</v>
      </c>
      <c r="T111" s="41">
        <f t="shared" si="13"/>
        <v>537.46478765393863</v>
      </c>
      <c r="U111" s="41">
        <f t="shared" si="14"/>
        <v>870.28897596873833</v>
      </c>
      <c r="V111" s="41">
        <f t="shared" si="15"/>
        <v>84.438290996883836</v>
      </c>
      <c r="W111" s="41">
        <f t="shared" si="16"/>
        <v>149.15284659581928</v>
      </c>
      <c r="X111" s="41">
        <f t="shared" si="17"/>
        <v>297.15172911443904</v>
      </c>
      <c r="Y111" s="41">
        <f t="shared" si="18"/>
        <v>537.46478765393863</v>
      </c>
      <c r="Z111" s="41">
        <f t="shared" si="19"/>
        <v>870.28897596873833</v>
      </c>
    </row>
    <row r="112" spans="1:26" x14ac:dyDescent="0.25">
      <c r="A112" s="92" t="s">
        <v>98</v>
      </c>
      <c r="B112" s="85" t="s">
        <v>214</v>
      </c>
      <c r="C112" s="36">
        <v>3.6271193707291177E-2</v>
      </c>
      <c r="D112" s="36">
        <v>7.2189347795831374E-2</v>
      </c>
      <c r="E112" s="36">
        <v>9.2760006106566914E-2</v>
      </c>
      <c r="F112" s="36">
        <v>0.18461714815369659</v>
      </c>
      <c r="G112" s="36">
        <v>0.1113120073278803</v>
      </c>
      <c r="H112" s="36">
        <v>0.22154057778443589</v>
      </c>
      <c r="I112" s="36">
        <v>0.1744750679670522</v>
      </c>
      <c r="J112" s="36">
        <v>0.34725191193922511</v>
      </c>
      <c r="K112" s="36">
        <v>0.19940007767663109</v>
      </c>
      <c r="L112" s="36">
        <v>0.39685932793054296</v>
      </c>
      <c r="M112" s="140" t="s">
        <v>213</v>
      </c>
      <c r="N112" s="43"/>
      <c r="O112" s="144">
        <v>2500</v>
      </c>
      <c r="P112" s="144">
        <v>1</v>
      </c>
      <c r="Q112" s="41">
        <f t="shared" si="10"/>
        <v>180.47336948957843</v>
      </c>
      <c r="R112" s="41">
        <f t="shared" si="11"/>
        <v>461.5428703842415</v>
      </c>
      <c r="S112" s="41">
        <f t="shared" si="12"/>
        <v>553.85144446108973</v>
      </c>
      <c r="T112" s="41">
        <f t="shared" si="13"/>
        <v>868.12977984806275</v>
      </c>
      <c r="U112" s="41">
        <f t="shared" si="14"/>
        <v>992.14831982635735</v>
      </c>
      <c r="V112" s="41">
        <f t="shared" si="15"/>
        <v>180.47336948957843</v>
      </c>
      <c r="W112" s="41">
        <f t="shared" si="16"/>
        <v>461.5428703842415</v>
      </c>
      <c r="X112" s="41">
        <f t="shared" si="17"/>
        <v>553.85144446108973</v>
      </c>
      <c r="Y112" s="41">
        <f t="shared" si="18"/>
        <v>868.12977984806275</v>
      </c>
      <c r="Z112" s="41">
        <f t="shared" si="19"/>
        <v>992.14831982635735</v>
      </c>
    </row>
    <row r="113" spans="1:26" x14ac:dyDescent="0.25">
      <c r="A113" s="92" t="s">
        <v>106</v>
      </c>
      <c r="B113" s="85" t="s">
        <v>214</v>
      </c>
      <c r="C113" s="36">
        <v>2.8768468145291475E-2</v>
      </c>
      <c r="D113" s="36">
        <v>8.9315736942597715E-2</v>
      </c>
      <c r="E113" s="36">
        <v>3.5960585181614345E-2</v>
      </c>
      <c r="F113" s="36">
        <v>0.11164467117824715</v>
      </c>
      <c r="G113" s="36">
        <v>4.96763616512092E-2</v>
      </c>
      <c r="H113" s="36">
        <v>0.15422721943681011</v>
      </c>
      <c r="I113" s="36">
        <v>5.7955755259744064E-2</v>
      </c>
      <c r="J113" s="36">
        <v>0.17993175600961181</v>
      </c>
      <c r="K113" s="36">
        <v>6.6235148868278929E-2</v>
      </c>
      <c r="L113" s="36">
        <v>0.20563629258241348</v>
      </c>
      <c r="M113" s="140" t="s">
        <v>213</v>
      </c>
      <c r="N113" s="43"/>
      <c r="O113" s="144">
        <v>2500</v>
      </c>
      <c r="P113" s="144">
        <v>1</v>
      </c>
      <c r="Q113" s="41">
        <f t="shared" si="10"/>
        <v>223.28934235649427</v>
      </c>
      <c r="R113" s="41">
        <f t="shared" si="11"/>
        <v>279.11167794561788</v>
      </c>
      <c r="S113" s="41">
        <f t="shared" si="12"/>
        <v>385.56804859202526</v>
      </c>
      <c r="T113" s="41">
        <f t="shared" si="13"/>
        <v>449.82939002402952</v>
      </c>
      <c r="U113" s="41">
        <f t="shared" si="14"/>
        <v>514.09073145603372</v>
      </c>
      <c r="V113" s="41">
        <f t="shared" si="15"/>
        <v>223.28934235649427</v>
      </c>
      <c r="W113" s="41">
        <f t="shared" si="16"/>
        <v>279.11167794561788</v>
      </c>
      <c r="X113" s="41">
        <f t="shared" si="17"/>
        <v>385.56804859202526</v>
      </c>
      <c r="Y113" s="41">
        <f t="shared" si="18"/>
        <v>449.82939002402952</v>
      </c>
      <c r="Z113" s="41">
        <f t="shared" si="19"/>
        <v>514.09073145603372</v>
      </c>
    </row>
    <row r="114" spans="1:26" x14ac:dyDescent="0.25">
      <c r="A114" s="5" t="s">
        <v>63</v>
      </c>
      <c r="B114" s="89"/>
      <c r="C114" s="36"/>
      <c r="D114" s="36"/>
      <c r="E114" s="36"/>
      <c r="F114" s="36"/>
      <c r="G114" s="36"/>
      <c r="H114" s="36"/>
      <c r="I114" s="36"/>
      <c r="J114" s="36"/>
      <c r="K114" s="36"/>
      <c r="L114" s="36"/>
      <c r="M114" s="141"/>
      <c r="N114" s="43"/>
      <c r="O114" s="144">
        <v>2500</v>
      </c>
      <c r="P114" s="144">
        <v>1</v>
      </c>
      <c r="Q114" s="41">
        <f t="shared" si="10"/>
        <v>0</v>
      </c>
      <c r="R114" s="41">
        <f t="shared" si="11"/>
        <v>0</v>
      </c>
      <c r="S114" s="41">
        <f t="shared" si="12"/>
        <v>0</v>
      </c>
      <c r="T114" s="41">
        <f t="shared" si="13"/>
        <v>0</v>
      </c>
      <c r="U114" s="41">
        <f t="shared" si="14"/>
        <v>0</v>
      </c>
      <c r="V114" s="41">
        <f t="shared" si="15"/>
        <v>0</v>
      </c>
      <c r="W114" s="41">
        <f t="shared" si="16"/>
        <v>0</v>
      </c>
      <c r="X114" s="41">
        <f t="shared" si="17"/>
        <v>0</v>
      </c>
      <c r="Y114" s="41">
        <f t="shared" si="18"/>
        <v>0</v>
      </c>
      <c r="Z114" s="41">
        <f t="shared" si="19"/>
        <v>0</v>
      </c>
    </row>
    <row r="115" spans="1:26" x14ac:dyDescent="0.25">
      <c r="A115" s="92" t="s">
        <v>64</v>
      </c>
      <c r="B115" s="85" t="s">
        <v>214</v>
      </c>
      <c r="C115" s="36">
        <v>2.7231583871240757E-2</v>
      </c>
      <c r="D115" s="36">
        <v>6.0069243142107612E-2</v>
      </c>
      <c r="E115" s="36">
        <v>7.221104985622355E-2</v>
      </c>
      <c r="F115" s="36">
        <v>0.15928794784284833</v>
      </c>
      <c r="G115" s="36">
        <v>8.6653259827468271E-2</v>
      </c>
      <c r="H115" s="36">
        <v>0.19114553741141802</v>
      </c>
      <c r="I115" s="36">
        <v>0.15598954072599311</v>
      </c>
      <c r="J115" s="36">
        <v>0.34409212823611068</v>
      </c>
      <c r="K115" s="36">
        <v>0.17827376082970639</v>
      </c>
      <c r="L115" s="36">
        <v>0.39324814655555496</v>
      </c>
      <c r="M115" s="140" t="s">
        <v>213</v>
      </c>
      <c r="N115" s="43"/>
      <c r="O115" s="144">
        <v>2500</v>
      </c>
      <c r="P115" s="144">
        <v>1</v>
      </c>
      <c r="Q115" s="41">
        <f t="shared" si="10"/>
        <v>150.17310785526902</v>
      </c>
      <c r="R115" s="41">
        <f t="shared" si="11"/>
        <v>398.21986960712081</v>
      </c>
      <c r="S115" s="41">
        <f t="shared" si="12"/>
        <v>477.86384352854503</v>
      </c>
      <c r="T115" s="41">
        <f t="shared" si="13"/>
        <v>860.23032059027673</v>
      </c>
      <c r="U115" s="41">
        <f t="shared" si="14"/>
        <v>983.12036638888742</v>
      </c>
      <c r="V115" s="41">
        <f t="shared" si="15"/>
        <v>150.17310785526902</v>
      </c>
      <c r="W115" s="41">
        <f t="shared" si="16"/>
        <v>398.21986960712081</v>
      </c>
      <c r="X115" s="41">
        <f t="shared" si="17"/>
        <v>477.86384352854503</v>
      </c>
      <c r="Y115" s="41">
        <f t="shared" si="18"/>
        <v>860.23032059027673</v>
      </c>
      <c r="Z115" s="41">
        <f t="shared" si="19"/>
        <v>983.12036638888742</v>
      </c>
    </row>
    <row r="116" spans="1:26" x14ac:dyDescent="0.25">
      <c r="A116" s="92" t="s">
        <v>211</v>
      </c>
      <c r="B116" s="85" t="s">
        <v>214</v>
      </c>
      <c r="C116" s="36">
        <v>0.13993173246654608</v>
      </c>
      <c r="D116" s="36">
        <v>0.3086707442568718</v>
      </c>
      <c r="E116" s="36">
        <v>0.26066265362298341</v>
      </c>
      <c r="F116" s="36">
        <v>0.57498705887181834</v>
      </c>
      <c r="G116" s="36">
        <v>0.40603515156448039</v>
      </c>
      <c r="H116" s="36">
        <v>0.89565940633103525</v>
      </c>
      <c r="I116" s="36">
        <v>0.56415193613376724</v>
      </c>
      <c r="J116" s="36">
        <v>1.2444439508529392</v>
      </c>
      <c r="K116" s="36">
        <v>0.61922533725760553</v>
      </c>
      <c r="L116" s="36">
        <v>1.3659285306119766</v>
      </c>
      <c r="M116" s="140" t="s">
        <v>213</v>
      </c>
      <c r="N116" s="43"/>
      <c r="O116" s="144">
        <v>2500</v>
      </c>
      <c r="P116" s="144">
        <v>1</v>
      </c>
      <c r="Q116" s="41">
        <f t="shared" si="10"/>
        <v>771.67686064217946</v>
      </c>
      <c r="R116" s="41">
        <f t="shared" si="11"/>
        <v>1437.4676471795458</v>
      </c>
      <c r="S116" s="41">
        <f t="shared" si="12"/>
        <v>2239.1485158275882</v>
      </c>
      <c r="T116" s="41">
        <f t="shared" si="13"/>
        <v>3111.1098771323482</v>
      </c>
      <c r="U116" s="41">
        <f t="shared" si="14"/>
        <v>3414.8213265299414</v>
      </c>
      <c r="V116" s="41">
        <f t="shared" si="15"/>
        <v>771.67686064217946</v>
      </c>
      <c r="W116" s="41">
        <f t="shared" si="16"/>
        <v>1437.4676471795458</v>
      </c>
      <c r="X116" s="41">
        <f t="shared" si="17"/>
        <v>2239.1485158275882</v>
      </c>
      <c r="Y116" s="41">
        <f t="shared" si="18"/>
        <v>3111.1098771323482</v>
      </c>
      <c r="Z116" s="41">
        <f t="shared" si="19"/>
        <v>3414.8213265299414</v>
      </c>
    </row>
    <row r="117" spans="1:26" x14ac:dyDescent="0.25">
      <c r="A117" s="5" t="s">
        <v>65</v>
      </c>
      <c r="B117" s="89"/>
      <c r="C117" s="36"/>
      <c r="D117" s="36"/>
      <c r="E117" s="36"/>
      <c r="F117" s="36"/>
      <c r="G117" s="36"/>
      <c r="H117" s="36"/>
      <c r="I117" s="36"/>
      <c r="J117" s="36"/>
      <c r="K117" s="36"/>
      <c r="L117" s="36"/>
      <c r="M117" s="141"/>
      <c r="N117" s="43"/>
      <c r="O117" s="144">
        <v>2500</v>
      </c>
      <c r="P117" s="144">
        <v>1</v>
      </c>
      <c r="Q117" s="41">
        <f t="shared" si="10"/>
        <v>0</v>
      </c>
      <c r="R117" s="41">
        <f t="shared" si="11"/>
        <v>0</v>
      </c>
      <c r="S117" s="41">
        <f t="shared" si="12"/>
        <v>0</v>
      </c>
      <c r="T117" s="41">
        <f t="shared" si="13"/>
        <v>0</v>
      </c>
      <c r="U117" s="41">
        <f t="shared" si="14"/>
        <v>0</v>
      </c>
      <c r="V117" s="41">
        <f t="shared" si="15"/>
        <v>0</v>
      </c>
      <c r="W117" s="41">
        <f t="shared" si="16"/>
        <v>0</v>
      </c>
      <c r="X117" s="41">
        <f t="shared" si="17"/>
        <v>0</v>
      </c>
      <c r="Y117" s="41">
        <f t="shared" si="18"/>
        <v>0</v>
      </c>
      <c r="Z117" s="41">
        <f t="shared" si="19"/>
        <v>0</v>
      </c>
    </row>
    <row r="118" spans="1:26" x14ac:dyDescent="0.25">
      <c r="A118" s="92" t="s">
        <v>67</v>
      </c>
      <c r="B118" s="85" t="s">
        <v>214</v>
      </c>
      <c r="C118" s="36">
        <v>6.2140816833345464E-2</v>
      </c>
      <c r="D118" s="36">
        <v>0.16514543481629892</v>
      </c>
      <c r="E118" s="36">
        <v>7.7676021041681836E-2</v>
      </c>
      <c r="F118" s="36">
        <v>0.20643179352037366</v>
      </c>
      <c r="G118" s="36">
        <v>9.3211225250018195E-2</v>
      </c>
      <c r="H118" s="36">
        <v>0.24771815222444837</v>
      </c>
      <c r="I118" s="36">
        <v>0.10874642945835457</v>
      </c>
      <c r="J118" s="36">
        <v>0.28900451092852308</v>
      </c>
      <c r="K118" s="36">
        <v>0.12428163366669093</v>
      </c>
      <c r="L118" s="36">
        <v>0.33029086963259785</v>
      </c>
      <c r="M118" s="140" t="s">
        <v>213</v>
      </c>
      <c r="N118" s="43"/>
      <c r="O118" s="144">
        <v>2500</v>
      </c>
      <c r="P118" s="144">
        <v>1</v>
      </c>
      <c r="Q118" s="41">
        <f t="shared" si="10"/>
        <v>412.86358704074729</v>
      </c>
      <c r="R118" s="41">
        <f t="shared" si="11"/>
        <v>516.07948380093421</v>
      </c>
      <c r="S118" s="41">
        <f t="shared" si="12"/>
        <v>619.29538056112096</v>
      </c>
      <c r="T118" s="41">
        <f t="shared" si="13"/>
        <v>722.51127732130772</v>
      </c>
      <c r="U118" s="41">
        <f t="shared" si="14"/>
        <v>825.72717408149458</v>
      </c>
      <c r="V118" s="41">
        <f t="shared" si="15"/>
        <v>412.86358704074729</v>
      </c>
      <c r="W118" s="41">
        <f t="shared" si="16"/>
        <v>516.07948380093421</v>
      </c>
      <c r="X118" s="41">
        <f t="shared" si="17"/>
        <v>619.29538056112096</v>
      </c>
      <c r="Y118" s="41">
        <f t="shared" si="18"/>
        <v>722.51127732130772</v>
      </c>
      <c r="Z118" s="41">
        <f t="shared" si="19"/>
        <v>825.72717408149458</v>
      </c>
    </row>
    <row r="119" spans="1:26" x14ac:dyDescent="0.25">
      <c r="A119" s="92" t="s">
        <v>212</v>
      </c>
      <c r="B119" s="85" t="s">
        <v>214</v>
      </c>
      <c r="C119" s="36">
        <v>1.4552614868954362E-2</v>
      </c>
      <c r="D119" s="36">
        <v>2.8664770594541707E-2</v>
      </c>
      <c r="E119" s="36">
        <v>3.3820935737924614E-2</v>
      </c>
      <c r="F119" s="36">
        <v>6.6618224487514713E-2</v>
      </c>
      <c r="G119" s="36">
        <v>4.0585122885509535E-2</v>
      </c>
      <c r="H119" s="36">
        <v>7.9941869385017642E-2</v>
      </c>
      <c r="I119" s="36">
        <v>7.1138125670237848E-2</v>
      </c>
      <c r="J119" s="36">
        <v>0.14012313740352317</v>
      </c>
      <c r="K119" s="36">
        <v>8.1300715051700403E-2</v>
      </c>
      <c r="L119" s="36">
        <v>0.16014072846116933</v>
      </c>
      <c r="M119" s="140" t="s">
        <v>213</v>
      </c>
      <c r="N119" s="43"/>
      <c r="O119" s="144">
        <v>2500</v>
      </c>
      <c r="P119" s="144">
        <v>1</v>
      </c>
      <c r="Q119" s="41">
        <f t="shared" si="10"/>
        <v>71.661926486354261</v>
      </c>
      <c r="R119" s="41">
        <f t="shared" si="11"/>
        <v>166.54556121878679</v>
      </c>
      <c r="S119" s="41">
        <f t="shared" si="12"/>
        <v>199.8546734625441</v>
      </c>
      <c r="T119" s="41">
        <f t="shared" si="13"/>
        <v>350.30784350880793</v>
      </c>
      <c r="U119" s="41">
        <f t="shared" si="14"/>
        <v>400.35182115292332</v>
      </c>
      <c r="V119" s="41">
        <f t="shared" si="15"/>
        <v>71.661926486354261</v>
      </c>
      <c r="W119" s="41">
        <f t="shared" si="16"/>
        <v>166.54556121878679</v>
      </c>
      <c r="X119" s="41">
        <f t="shared" si="17"/>
        <v>199.8546734625441</v>
      </c>
      <c r="Y119" s="41">
        <f t="shared" si="18"/>
        <v>350.30784350880793</v>
      </c>
      <c r="Z119" s="41">
        <f t="shared" si="19"/>
        <v>400.35182115292332</v>
      </c>
    </row>
    <row r="120" spans="1:26" x14ac:dyDescent="0.25">
      <c r="A120" s="5" t="s">
        <v>69</v>
      </c>
      <c r="B120" s="89"/>
      <c r="C120" s="36"/>
      <c r="D120" s="36"/>
      <c r="E120" s="36"/>
      <c r="F120" s="36"/>
      <c r="G120" s="36"/>
      <c r="H120" s="36"/>
      <c r="I120" s="36"/>
      <c r="J120" s="36"/>
      <c r="K120" s="36"/>
      <c r="L120" s="36"/>
      <c r="M120" s="141"/>
      <c r="N120" s="43"/>
      <c r="O120" s="144">
        <v>2500</v>
      </c>
      <c r="P120" s="144">
        <v>1</v>
      </c>
      <c r="Q120" s="41">
        <f t="shared" si="10"/>
        <v>0</v>
      </c>
      <c r="R120" s="41">
        <f t="shared" si="11"/>
        <v>0</v>
      </c>
      <c r="S120" s="41">
        <f t="shared" si="12"/>
        <v>0</v>
      </c>
      <c r="T120" s="41">
        <f t="shared" si="13"/>
        <v>0</v>
      </c>
      <c r="U120" s="41">
        <f t="shared" si="14"/>
        <v>0</v>
      </c>
      <c r="V120" s="41">
        <f t="shared" si="15"/>
        <v>0</v>
      </c>
      <c r="W120" s="41">
        <f t="shared" si="16"/>
        <v>0</v>
      </c>
      <c r="X120" s="41">
        <f t="shared" si="17"/>
        <v>0</v>
      </c>
      <c r="Y120" s="41">
        <f t="shared" si="18"/>
        <v>0</v>
      </c>
      <c r="Z120" s="41">
        <f t="shared" si="19"/>
        <v>0</v>
      </c>
    </row>
    <row r="121" spans="1:26" x14ac:dyDescent="0.25">
      <c r="A121" s="5" t="s">
        <v>70</v>
      </c>
      <c r="B121" s="89"/>
      <c r="C121" s="36"/>
      <c r="D121" s="36"/>
      <c r="E121" s="36"/>
      <c r="F121" s="36"/>
      <c r="G121" s="36"/>
      <c r="H121" s="36"/>
      <c r="I121" s="36"/>
      <c r="J121" s="36"/>
      <c r="K121" s="36"/>
      <c r="L121" s="36"/>
      <c r="M121" s="141"/>
      <c r="N121" s="43"/>
      <c r="O121" s="144">
        <v>2500</v>
      </c>
      <c r="P121" s="144">
        <v>1</v>
      </c>
      <c r="Q121" s="41">
        <f t="shared" si="10"/>
        <v>0</v>
      </c>
      <c r="R121" s="41">
        <f t="shared" si="11"/>
        <v>0</v>
      </c>
      <c r="S121" s="41">
        <f t="shared" si="12"/>
        <v>0</v>
      </c>
      <c r="T121" s="41">
        <f t="shared" si="13"/>
        <v>0</v>
      </c>
      <c r="U121" s="41">
        <f t="shared" si="14"/>
        <v>0</v>
      </c>
      <c r="V121" s="41">
        <f t="shared" si="15"/>
        <v>0</v>
      </c>
      <c r="W121" s="41">
        <f t="shared" si="16"/>
        <v>0</v>
      </c>
      <c r="X121" s="41">
        <f t="shared" si="17"/>
        <v>0</v>
      </c>
      <c r="Y121" s="41">
        <f t="shared" si="18"/>
        <v>0</v>
      </c>
      <c r="Z121" s="41">
        <f t="shared" si="19"/>
        <v>0</v>
      </c>
    </row>
    <row r="122" spans="1:26" x14ac:dyDescent="0.25">
      <c r="A122" s="94" t="s">
        <v>71</v>
      </c>
      <c r="B122" s="95"/>
      <c r="C122" s="36"/>
      <c r="D122" s="36"/>
      <c r="E122" s="36"/>
      <c r="F122" s="36"/>
      <c r="G122" s="36"/>
      <c r="H122" s="36"/>
      <c r="I122" s="36"/>
      <c r="J122" s="36"/>
      <c r="K122" s="36"/>
      <c r="L122" s="36"/>
      <c r="M122" s="141"/>
      <c r="N122" s="43"/>
      <c r="O122" s="144">
        <v>2500</v>
      </c>
      <c r="P122" s="144">
        <v>1</v>
      </c>
      <c r="Q122" s="41">
        <f t="shared" si="10"/>
        <v>0</v>
      </c>
      <c r="R122" s="41">
        <f t="shared" si="11"/>
        <v>0</v>
      </c>
      <c r="S122" s="41">
        <f t="shared" si="12"/>
        <v>0</v>
      </c>
      <c r="T122" s="41">
        <f t="shared" si="13"/>
        <v>0</v>
      </c>
      <c r="U122" s="41">
        <f t="shared" si="14"/>
        <v>0</v>
      </c>
      <c r="V122" s="41">
        <f t="shared" si="15"/>
        <v>0</v>
      </c>
      <c r="W122" s="41">
        <f t="shared" si="16"/>
        <v>0</v>
      </c>
      <c r="X122" s="41">
        <f t="shared" si="17"/>
        <v>0</v>
      </c>
      <c r="Y122" s="41">
        <f t="shared" si="18"/>
        <v>0</v>
      </c>
      <c r="Z122" s="41">
        <f t="shared" si="19"/>
        <v>0</v>
      </c>
    </row>
    <row r="123" spans="1:26" x14ac:dyDescent="0.25">
      <c r="A123" s="92" t="s">
        <v>72</v>
      </c>
      <c r="B123" s="85" t="s">
        <v>214</v>
      </c>
      <c r="C123" s="36">
        <v>2.6976298890617898E-2</v>
      </c>
      <c r="D123" s="36">
        <v>5.1766168756151212E-2</v>
      </c>
      <c r="E123" s="36">
        <v>3.295231159662796E-2</v>
      </c>
      <c r="F123" s="36">
        <v>6.3233838338349224E-2</v>
      </c>
      <c r="G123" s="36">
        <v>4.5592134029955503E-2</v>
      </c>
      <c r="H123" s="36">
        <v>8.7489025596783121E-2</v>
      </c>
      <c r="I123" s="36">
        <v>6.0733508148132463E-2</v>
      </c>
      <c r="J123" s="36">
        <v>0.1165445654608588</v>
      </c>
      <c r="K123" s="36">
        <v>6.9409723597865666E-2</v>
      </c>
      <c r="L123" s="36">
        <v>0.13319378909812432</v>
      </c>
      <c r="M123" s="140" t="s">
        <v>213</v>
      </c>
      <c r="N123" s="43"/>
      <c r="O123" s="144">
        <v>2500</v>
      </c>
      <c r="P123" s="144">
        <v>1</v>
      </c>
      <c r="Q123" s="41">
        <f t="shared" si="10"/>
        <v>129.41542189037804</v>
      </c>
      <c r="R123" s="41">
        <f t="shared" si="11"/>
        <v>158.08459584587305</v>
      </c>
      <c r="S123" s="41">
        <f t="shared" si="12"/>
        <v>218.7225639919578</v>
      </c>
      <c r="T123" s="41">
        <f t="shared" si="13"/>
        <v>291.36141365214701</v>
      </c>
      <c r="U123" s="41">
        <f t="shared" si="14"/>
        <v>332.98447274531082</v>
      </c>
      <c r="V123" s="41">
        <f t="shared" si="15"/>
        <v>129.41542189037804</v>
      </c>
      <c r="W123" s="41">
        <f t="shared" si="16"/>
        <v>158.08459584587305</v>
      </c>
      <c r="X123" s="41">
        <f t="shared" si="17"/>
        <v>218.7225639919578</v>
      </c>
      <c r="Y123" s="41">
        <f t="shared" si="18"/>
        <v>291.36141365214701</v>
      </c>
      <c r="Z123" s="41">
        <f t="shared" si="19"/>
        <v>332.98447274531082</v>
      </c>
    </row>
    <row r="124" spans="1:26" x14ac:dyDescent="0.25">
      <c r="A124" s="27" t="s">
        <v>73</v>
      </c>
      <c r="B124" s="96" t="s">
        <v>218</v>
      </c>
      <c r="C124" s="36">
        <v>7.2666666666666671E-2</v>
      </c>
      <c r="D124" s="36">
        <v>0.18032959999999998</v>
      </c>
      <c r="E124" s="36">
        <v>9.0833333333333335E-2</v>
      </c>
      <c r="F124" s="36">
        <v>0.225412</v>
      </c>
      <c r="G124" s="36">
        <v>0.109</v>
      </c>
      <c r="H124" s="36">
        <v>0.27049440000000002</v>
      </c>
      <c r="I124" s="36">
        <v>0.20300000000000001</v>
      </c>
      <c r="J124" s="36">
        <v>0.50376480000000001</v>
      </c>
      <c r="K124" s="37">
        <v>0.23200000000000001</v>
      </c>
      <c r="L124" s="36">
        <v>0.5757312</v>
      </c>
      <c r="M124" s="139" t="s">
        <v>130</v>
      </c>
      <c r="N124" s="43" t="s">
        <v>148</v>
      </c>
      <c r="O124" s="144">
        <v>2500</v>
      </c>
      <c r="P124" s="144">
        <v>1</v>
      </c>
      <c r="Q124" s="41">
        <f t="shared" si="10"/>
        <v>450.82399999999996</v>
      </c>
      <c r="R124" s="41">
        <f t="shared" si="11"/>
        <v>563.53</v>
      </c>
      <c r="S124" s="41">
        <f t="shared" si="12"/>
        <v>676.2360000000001</v>
      </c>
      <c r="T124" s="41">
        <f t="shared" si="13"/>
        <v>1259.412</v>
      </c>
      <c r="U124" s="41">
        <f t="shared" si="14"/>
        <v>1439.328</v>
      </c>
      <c r="V124" s="41">
        <f t="shared" si="15"/>
        <v>450.82399999999996</v>
      </c>
      <c r="W124" s="41">
        <f t="shared" si="16"/>
        <v>563.53</v>
      </c>
      <c r="X124" s="41">
        <f t="shared" si="17"/>
        <v>676.2360000000001</v>
      </c>
      <c r="Y124" s="41">
        <f t="shared" si="18"/>
        <v>1259.412</v>
      </c>
      <c r="Z124" s="41">
        <f t="shared" si="19"/>
        <v>1439.328</v>
      </c>
    </row>
    <row r="126" spans="1:26" x14ac:dyDescent="0.25">
      <c r="A126" s="97" t="s">
        <v>290</v>
      </c>
    </row>
    <row r="127" spans="1:26" x14ac:dyDescent="0.25">
      <c r="A127" s="161" t="s">
        <v>81</v>
      </c>
    </row>
    <row r="128" spans="1:26" x14ac:dyDescent="0.25">
      <c r="A128" s="162" t="s">
        <v>130</v>
      </c>
    </row>
    <row r="129" spans="1:18" x14ac:dyDescent="0.25">
      <c r="A129" s="163" t="s">
        <v>217</v>
      </c>
      <c r="B129" s="86"/>
    </row>
    <row r="130" spans="1:18" x14ac:dyDescent="0.25">
      <c r="A130" s="164" t="s">
        <v>85</v>
      </c>
      <c r="B130" s="86"/>
    </row>
    <row r="132" spans="1:18" x14ac:dyDescent="0.25">
      <c r="A132" s="97" t="s">
        <v>219</v>
      </c>
    </row>
    <row r="133" spans="1:18" x14ac:dyDescent="0.25">
      <c r="A133" s="97"/>
    </row>
    <row r="134" spans="1:18" x14ac:dyDescent="0.25">
      <c r="A134" s="97" t="s">
        <v>220</v>
      </c>
      <c r="D134" s="91"/>
    </row>
    <row r="135" spans="1:18" x14ac:dyDescent="0.25">
      <c r="A135" s="97"/>
      <c r="D135" s="91"/>
    </row>
    <row r="136" spans="1:18" x14ac:dyDescent="0.25">
      <c r="A136" s="160" t="s">
        <v>258</v>
      </c>
      <c r="B136" s="147"/>
      <c r="C136" t="s">
        <v>222</v>
      </c>
      <c r="D136" s="91"/>
      <c r="O136" s="160" t="s">
        <v>259</v>
      </c>
      <c r="P136" s="147"/>
    </row>
    <row r="137" spans="1:18" x14ac:dyDescent="0.25">
      <c r="A137" s="147"/>
      <c r="B137" s="147"/>
      <c r="D137" s="91"/>
      <c r="O137" s="147"/>
      <c r="P137" s="147"/>
    </row>
    <row r="138" spans="1:18" x14ac:dyDescent="0.25">
      <c r="A138" s="148" t="s">
        <v>260</v>
      </c>
      <c r="B138" s="148" t="s">
        <v>261</v>
      </c>
      <c r="D138" s="91"/>
      <c r="O138" s="148" t="s">
        <v>260</v>
      </c>
      <c r="P138" s="519" t="s">
        <v>261</v>
      </c>
      <c r="Q138" s="519"/>
      <c r="R138" s="519"/>
    </row>
    <row r="139" spans="1:18" x14ac:dyDescent="0.25">
      <c r="A139" s="158" t="s">
        <v>6</v>
      </c>
      <c r="B139" s="151" t="s">
        <v>262</v>
      </c>
      <c r="D139" s="91"/>
      <c r="O139" s="158" t="s">
        <v>17</v>
      </c>
      <c r="P139" s="509" t="s">
        <v>16</v>
      </c>
      <c r="Q139" s="509"/>
      <c r="R139" s="509"/>
    </row>
    <row r="140" spans="1:18" x14ac:dyDescent="0.25">
      <c r="A140" s="158" t="s">
        <v>47</v>
      </c>
      <c r="B140" s="151" t="s">
        <v>263</v>
      </c>
      <c r="D140" s="91"/>
      <c r="O140" s="158" t="s">
        <v>156</v>
      </c>
      <c r="P140" s="509" t="s">
        <v>264</v>
      </c>
      <c r="Q140" s="509"/>
      <c r="R140" s="509"/>
    </row>
    <row r="141" spans="1:18" x14ac:dyDescent="0.25">
      <c r="A141" s="158" t="s">
        <v>1</v>
      </c>
      <c r="B141" s="151" t="s">
        <v>16</v>
      </c>
      <c r="D141" s="91"/>
      <c r="O141" s="158" t="s">
        <v>265</v>
      </c>
      <c r="P141" s="509" t="s">
        <v>64</v>
      </c>
      <c r="Q141" s="509"/>
      <c r="R141" s="509"/>
    </row>
    <row r="142" spans="1:18" x14ac:dyDescent="0.25">
      <c r="A142" s="158" t="s">
        <v>57</v>
      </c>
      <c r="B142" s="151" t="s">
        <v>58</v>
      </c>
      <c r="D142" s="91"/>
      <c r="O142" s="158" t="s">
        <v>73</v>
      </c>
      <c r="P142" s="509" t="s">
        <v>36</v>
      </c>
      <c r="Q142" s="509"/>
      <c r="R142" s="509"/>
    </row>
    <row r="143" spans="1:18" ht="15" customHeight="1" x14ac:dyDescent="0.25">
      <c r="A143" s="158" t="s">
        <v>266</v>
      </c>
      <c r="B143" s="151" t="s">
        <v>13</v>
      </c>
      <c r="D143" s="91"/>
      <c r="O143" s="157" t="s">
        <v>0</v>
      </c>
      <c r="P143" s="509" t="s">
        <v>262</v>
      </c>
      <c r="Q143" s="509"/>
      <c r="R143" s="509"/>
    </row>
    <row r="144" spans="1:18" ht="15" customHeight="1" x14ac:dyDescent="0.25">
      <c r="A144" s="158" t="s">
        <v>1</v>
      </c>
      <c r="B144" s="151" t="s">
        <v>264</v>
      </c>
      <c r="D144" s="91"/>
      <c r="O144" s="157" t="s">
        <v>267</v>
      </c>
      <c r="P144" s="509" t="s">
        <v>268</v>
      </c>
      <c r="Q144" s="509"/>
      <c r="R144" s="509"/>
    </row>
    <row r="145" spans="1:18" x14ac:dyDescent="0.25">
      <c r="A145" s="158" t="s">
        <v>1</v>
      </c>
      <c r="B145" s="151" t="s">
        <v>64</v>
      </c>
      <c r="O145" s="157" t="s">
        <v>269</v>
      </c>
      <c r="P145" s="509" t="s">
        <v>107</v>
      </c>
      <c r="Q145" s="509"/>
      <c r="R145" s="509"/>
    </row>
    <row r="146" spans="1:18" x14ac:dyDescent="0.25">
      <c r="A146" s="158" t="s">
        <v>73</v>
      </c>
      <c r="B146" s="151" t="s">
        <v>36</v>
      </c>
      <c r="O146" s="157" t="s">
        <v>267</v>
      </c>
      <c r="P146" s="509" t="s">
        <v>110</v>
      </c>
      <c r="Q146" s="509"/>
      <c r="R146" s="509"/>
    </row>
    <row r="147" spans="1:18" x14ac:dyDescent="0.25">
      <c r="A147" s="155" t="s">
        <v>270</v>
      </c>
      <c r="B147" s="159" t="s">
        <v>107</v>
      </c>
      <c r="O147" s="157" t="s">
        <v>54</v>
      </c>
      <c r="P147" s="509" t="s">
        <v>271</v>
      </c>
      <c r="Q147" s="509"/>
      <c r="R147" s="509"/>
    </row>
    <row r="148" spans="1:18" x14ac:dyDescent="0.25">
      <c r="A148" s="156" t="s">
        <v>52</v>
      </c>
      <c r="B148" s="159" t="s">
        <v>268</v>
      </c>
      <c r="O148" s="157" t="s">
        <v>269</v>
      </c>
      <c r="P148" s="509" t="s">
        <v>272</v>
      </c>
      <c r="Q148" s="509"/>
      <c r="R148" s="509"/>
    </row>
    <row r="149" spans="1:18" x14ac:dyDescent="0.25">
      <c r="A149" s="156" t="s">
        <v>52</v>
      </c>
      <c r="B149" s="159" t="s">
        <v>110</v>
      </c>
      <c r="O149" s="158" t="s">
        <v>73</v>
      </c>
      <c r="P149" s="509" t="s">
        <v>273</v>
      </c>
      <c r="Q149" s="509"/>
      <c r="R149" s="509"/>
    </row>
    <row r="150" spans="1:18" x14ac:dyDescent="0.25">
      <c r="A150" s="155" t="s">
        <v>270</v>
      </c>
      <c r="B150" s="159" t="s">
        <v>272</v>
      </c>
      <c r="O150" s="157" t="s">
        <v>274</v>
      </c>
      <c r="P150" s="509" t="s">
        <v>22</v>
      </c>
      <c r="Q150" s="509"/>
      <c r="R150" s="509"/>
    </row>
    <row r="151" spans="1:18" x14ac:dyDescent="0.25">
      <c r="A151" s="155" t="s">
        <v>6</v>
      </c>
      <c r="B151" s="159" t="s">
        <v>275</v>
      </c>
      <c r="O151" s="157" t="s">
        <v>269</v>
      </c>
      <c r="P151" s="509" t="s">
        <v>205</v>
      </c>
      <c r="Q151" s="509"/>
      <c r="R151" s="509"/>
    </row>
    <row r="152" spans="1:18" x14ac:dyDescent="0.25">
      <c r="A152" s="158" t="s">
        <v>6</v>
      </c>
      <c r="B152" s="159" t="s">
        <v>8</v>
      </c>
      <c r="O152" s="157" t="s">
        <v>109</v>
      </c>
      <c r="P152" s="509" t="s">
        <v>35</v>
      </c>
      <c r="Q152" s="509"/>
      <c r="R152" s="509"/>
    </row>
    <row r="153" spans="1:18" x14ac:dyDescent="0.25">
      <c r="A153" s="158" t="s">
        <v>73</v>
      </c>
      <c r="B153" s="159" t="s">
        <v>276</v>
      </c>
      <c r="O153" s="158" t="s">
        <v>109</v>
      </c>
      <c r="P153" s="509" t="s">
        <v>208</v>
      </c>
      <c r="Q153" s="509"/>
      <c r="R153" s="509"/>
    </row>
    <row r="154" spans="1:18" x14ac:dyDescent="0.25">
      <c r="A154" s="157" t="s">
        <v>274</v>
      </c>
      <c r="B154" s="159" t="s">
        <v>22</v>
      </c>
      <c r="O154" s="157" t="s">
        <v>274</v>
      </c>
      <c r="P154" s="509" t="s">
        <v>22</v>
      </c>
      <c r="Q154" s="509"/>
      <c r="R154" s="509"/>
    </row>
    <row r="155" spans="1:18" x14ac:dyDescent="0.25">
      <c r="A155" s="158" t="s">
        <v>61</v>
      </c>
      <c r="B155" s="159" t="s">
        <v>106</v>
      </c>
      <c r="O155" s="157" t="s">
        <v>269</v>
      </c>
      <c r="P155" s="509" t="s">
        <v>272</v>
      </c>
      <c r="Q155" s="509"/>
      <c r="R155" s="509"/>
    </row>
    <row r="156" spans="1:18" x14ac:dyDescent="0.25">
      <c r="A156" s="158" t="s">
        <v>59</v>
      </c>
      <c r="B156" s="159" t="s">
        <v>186</v>
      </c>
      <c r="O156" s="157" t="s">
        <v>267</v>
      </c>
      <c r="P156" s="509" t="s">
        <v>209</v>
      </c>
      <c r="Q156" s="509"/>
      <c r="R156" s="509"/>
    </row>
    <row r="157" spans="1:18" x14ac:dyDescent="0.25">
      <c r="A157" s="158" t="s">
        <v>59</v>
      </c>
      <c r="B157" s="159" t="s">
        <v>172</v>
      </c>
      <c r="O157" s="157" t="s">
        <v>277</v>
      </c>
      <c r="P157" s="509" t="s">
        <v>212</v>
      </c>
      <c r="Q157" s="509"/>
      <c r="R157" s="509"/>
    </row>
    <row r="158" spans="1:18" x14ac:dyDescent="0.25">
      <c r="A158" s="155" t="s">
        <v>270</v>
      </c>
      <c r="B158" s="159" t="s">
        <v>205</v>
      </c>
      <c r="O158" s="157" t="s">
        <v>274</v>
      </c>
      <c r="P158" s="509" t="s">
        <v>203</v>
      </c>
      <c r="Q158" s="509"/>
      <c r="R158" s="509"/>
    </row>
    <row r="159" spans="1:18" x14ac:dyDescent="0.25">
      <c r="A159" s="155" t="s">
        <v>270</v>
      </c>
      <c r="B159" s="159" t="s">
        <v>205</v>
      </c>
      <c r="O159" s="158" t="s">
        <v>109</v>
      </c>
      <c r="P159" s="509" t="s">
        <v>208</v>
      </c>
      <c r="Q159" s="509"/>
      <c r="R159" s="509"/>
    </row>
    <row r="160" spans="1:18" x14ac:dyDescent="0.25">
      <c r="A160" s="158" t="s">
        <v>59</v>
      </c>
      <c r="B160" s="159" t="s">
        <v>278</v>
      </c>
      <c r="O160" s="157" t="s">
        <v>0</v>
      </c>
      <c r="P160" s="509" t="s">
        <v>30</v>
      </c>
      <c r="Q160" s="509"/>
      <c r="R160" s="509"/>
    </row>
    <row r="161" spans="1:18" x14ac:dyDescent="0.25">
      <c r="A161" s="158" t="s">
        <v>109</v>
      </c>
      <c r="B161" s="159" t="s">
        <v>35</v>
      </c>
      <c r="O161" s="158" t="s">
        <v>109</v>
      </c>
      <c r="P161" s="509" t="s">
        <v>279</v>
      </c>
      <c r="Q161" s="509"/>
      <c r="R161" s="509"/>
    </row>
    <row r="162" spans="1:18" x14ac:dyDescent="0.25">
      <c r="A162" s="155" t="s">
        <v>2</v>
      </c>
      <c r="B162" s="159" t="s">
        <v>156</v>
      </c>
      <c r="O162" s="158" t="s">
        <v>1</v>
      </c>
      <c r="P162" s="509" t="s">
        <v>108</v>
      </c>
      <c r="Q162" s="509"/>
      <c r="R162" s="509"/>
    </row>
    <row r="163" spans="1:18" x14ac:dyDescent="0.25">
      <c r="A163" s="156" t="s">
        <v>52</v>
      </c>
      <c r="B163" s="159" t="s">
        <v>209</v>
      </c>
      <c r="O163" s="158" t="s">
        <v>280</v>
      </c>
      <c r="P163" s="509" t="s">
        <v>25</v>
      </c>
      <c r="Q163" s="509"/>
      <c r="R163" s="509"/>
    </row>
    <row r="164" spans="1:18" x14ac:dyDescent="0.25">
      <c r="A164" s="158" t="s">
        <v>109</v>
      </c>
      <c r="B164" s="159" t="s">
        <v>208</v>
      </c>
      <c r="O164" s="158" t="s">
        <v>109</v>
      </c>
      <c r="P164" s="509" t="s">
        <v>35</v>
      </c>
      <c r="Q164" s="509"/>
      <c r="R164" s="509"/>
    </row>
    <row r="165" spans="1:18" x14ac:dyDescent="0.25">
      <c r="A165" s="158" t="s">
        <v>1</v>
      </c>
      <c r="B165" s="156" t="s">
        <v>39</v>
      </c>
      <c r="O165" s="158" t="s">
        <v>277</v>
      </c>
      <c r="P165" s="509" t="s">
        <v>271</v>
      </c>
      <c r="Q165" s="509"/>
      <c r="R165" s="509"/>
    </row>
    <row r="166" spans="1:18" x14ac:dyDescent="0.25">
      <c r="A166" s="158" t="s">
        <v>61</v>
      </c>
      <c r="B166" s="156" t="s">
        <v>106</v>
      </c>
      <c r="O166" s="158" t="s">
        <v>73</v>
      </c>
      <c r="P166" s="509" t="s">
        <v>273</v>
      </c>
      <c r="Q166" s="509"/>
      <c r="R166" s="509"/>
    </row>
    <row r="167" spans="1:18" x14ac:dyDescent="0.25">
      <c r="A167" s="158" t="s">
        <v>59</v>
      </c>
      <c r="B167" s="156" t="s">
        <v>180</v>
      </c>
      <c r="O167" s="157" t="s">
        <v>267</v>
      </c>
      <c r="P167" s="509" t="s">
        <v>281</v>
      </c>
      <c r="Q167" s="509"/>
      <c r="R167" s="509"/>
    </row>
    <row r="168" spans="1:18" x14ac:dyDescent="0.25">
      <c r="A168" s="158" t="s">
        <v>1</v>
      </c>
      <c r="B168" s="159" t="s">
        <v>212</v>
      </c>
      <c r="O168" s="157" t="s">
        <v>269</v>
      </c>
      <c r="P168" s="509" t="s">
        <v>204</v>
      </c>
      <c r="Q168" s="509"/>
      <c r="R168" s="509"/>
    </row>
    <row r="169" spans="1:18" x14ac:dyDescent="0.25">
      <c r="A169" s="157" t="s">
        <v>274</v>
      </c>
      <c r="B169" s="156" t="s">
        <v>203</v>
      </c>
      <c r="O169" s="157" t="s">
        <v>282</v>
      </c>
      <c r="P169" s="509" t="s">
        <v>283</v>
      </c>
      <c r="Q169" s="509"/>
      <c r="R169" s="509"/>
    </row>
    <row r="170" spans="1:18" x14ac:dyDescent="0.25">
      <c r="A170" s="158" t="s">
        <v>6</v>
      </c>
      <c r="B170" s="156" t="s">
        <v>30</v>
      </c>
      <c r="O170" s="157" t="s">
        <v>277</v>
      </c>
      <c r="P170" s="509" t="s">
        <v>21</v>
      </c>
      <c r="Q170" s="509"/>
      <c r="R170" s="509"/>
    </row>
    <row r="171" spans="1:18" x14ac:dyDescent="0.25">
      <c r="A171" s="158" t="s">
        <v>109</v>
      </c>
      <c r="B171" s="156" t="s">
        <v>279</v>
      </c>
      <c r="O171" s="157" t="s">
        <v>100</v>
      </c>
      <c r="P171" s="509" t="s">
        <v>27</v>
      </c>
      <c r="Q171" s="509"/>
      <c r="R171" s="509"/>
    </row>
    <row r="172" spans="1:18" x14ac:dyDescent="0.25">
      <c r="A172" s="158" t="s">
        <v>62</v>
      </c>
      <c r="B172" s="156" t="s">
        <v>98</v>
      </c>
      <c r="O172" s="157" t="s">
        <v>280</v>
      </c>
      <c r="P172" s="509" t="s">
        <v>26</v>
      </c>
      <c r="Q172" s="509"/>
      <c r="R172" s="509"/>
    </row>
    <row r="173" spans="1:18" x14ac:dyDescent="0.25">
      <c r="A173" s="158" t="s">
        <v>1</v>
      </c>
      <c r="B173" s="156" t="s">
        <v>108</v>
      </c>
      <c r="O173" s="157" t="s">
        <v>100</v>
      </c>
      <c r="P173" s="509" t="s">
        <v>207</v>
      </c>
      <c r="Q173" s="509"/>
      <c r="R173" s="509"/>
    </row>
    <row r="174" spans="1:18" x14ac:dyDescent="0.25">
      <c r="A174" s="158" t="s">
        <v>2</v>
      </c>
      <c r="B174" s="156" t="s">
        <v>15</v>
      </c>
      <c r="O174" s="157" t="s">
        <v>100</v>
      </c>
      <c r="P174" s="509" t="s">
        <v>284</v>
      </c>
      <c r="Q174" s="509"/>
      <c r="R174" s="509"/>
    </row>
    <row r="175" spans="1:18" x14ac:dyDescent="0.25">
      <c r="A175" s="155" t="s">
        <v>2</v>
      </c>
      <c r="B175" s="156" t="s">
        <v>67</v>
      </c>
      <c r="O175" s="157" t="s">
        <v>269</v>
      </c>
      <c r="P175" s="509" t="s">
        <v>285</v>
      </c>
      <c r="Q175" s="509"/>
      <c r="R175" s="509"/>
    </row>
    <row r="176" spans="1:18" x14ac:dyDescent="0.25">
      <c r="A176" s="158" t="s">
        <v>57</v>
      </c>
      <c r="B176" s="156" t="s">
        <v>25</v>
      </c>
      <c r="O176" s="157" t="s">
        <v>40</v>
      </c>
      <c r="P176" s="509" t="s">
        <v>286</v>
      </c>
      <c r="Q176" s="509"/>
      <c r="R176" s="509"/>
    </row>
    <row r="177" spans="1:18" x14ac:dyDescent="0.25">
      <c r="A177" s="158" t="s">
        <v>57</v>
      </c>
      <c r="B177" s="156" t="s">
        <v>58</v>
      </c>
      <c r="O177" s="157" t="s">
        <v>54</v>
      </c>
      <c r="P177" s="509" t="s">
        <v>271</v>
      </c>
      <c r="Q177" s="509"/>
      <c r="R177" s="509"/>
    </row>
    <row r="178" spans="1:18" x14ac:dyDescent="0.25">
      <c r="A178" s="158" t="s">
        <v>1</v>
      </c>
      <c r="B178" s="156" t="s">
        <v>211</v>
      </c>
      <c r="O178" s="157" t="s">
        <v>73</v>
      </c>
      <c r="P178" s="509" t="s">
        <v>273</v>
      </c>
      <c r="Q178" s="509"/>
      <c r="R178" s="509"/>
    </row>
    <row r="179" spans="1:18" x14ac:dyDescent="0.25">
      <c r="A179" s="158" t="s">
        <v>6</v>
      </c>
      <c r="B179" s="156" t="s">
        <v>17</v>
      </c>
      <c r="O179" s="157" t="s">
        <v>1</v>
      </c>
      <c r="P179" s="509" t="s">
        <v>176</v>
      </c>
      <c r="Q179" s="509"/>
      <c r="R179" s="509"/>
    </row>
    <row r="180" spans="1:18" x14ac:dyDescent="0.25">
      <c r="A180" s="155" t="s">
        <v>270</v>
      </c>
      <c r="B180" s="156" t="s">
        <v>204</v>
      </c>
      <c r="O180" s="157" t="s">
        <v>109</v>
      </c>
      <c r="P180" s="509" t="s">
        <v>287</v>
      </c>
      <c r="Q180" s="509"/>
      <c r="R180" s="509"/>
    </row>
    <row r="181" spans="1:18" x14ac:dyDescent="0.25">
      <c r="A181" s="156" t="s">
        <v>52</v>
      </c>
      <c r="B181" s="156" t="s">
        <v>281</v>
      </c>
      <c r="O181" s="157" t="s">
        <v>104</v>
      </c>
      <c r="P181" s="509" t="s">
        <v>173</v>
      </c>
      <c r="Q181" s="509"/>
      <c r="R181" s="509"/>
    </row>
    <row r="182" spans="1:18" x14ac:dyDescent="0.25">
      <c r="A182" s="158" t="s">
        <v>1</v>
      </c>
      <c r="B182" s="156" t="s">
        <v>211</v>
      </c>
      <c r="O182" s="149"/>
      <c r="P182" s="149"/>
    </row>
    <row r="183" spans="1:18" x14ac:dyDescent="0.25">
      <c r="A183" s="158" t="s">
        <v>1</v>
      </c>
      <c r="B183" s="156" t="s">
        <v>17</v>
      </c>
      <c r="O183" s="149"/>
      <c r="P183" s="149"/>
    </row>
    <row r="184" spans="1:18" x14ac:dyDescent="0.25">
      <c r="A184" s="158" t="s">
        <v>1</v>
      </c>
      <c r="B184" s="156" t="s">
        <v>54</v>
      </c>
      <c r="O184" s="149"/>
      <c r="P184" s="149"/>
    </row>
    <row r="185" spans="1:18" x14ac:dyDescent="0.25">
      <c r="A185" s="158" t="s">
        <v>2</v>
      </c>
      <c r="B185" s="156" t="s">
        <v>72</v>
      </c>
      <c r="O185" s="149"/>
      <c r="P185" s="149"/>
    </row>
    <row r="186" spans="1:18" x14ac:dyDescent="0.25">
      <c r="A186" s="158" t="s">
        <v>23</v>
      </c>
      <c r="B186" s="156" t="s">
        <v>274</v>
      </c>
      <c r="O186" s="149"/>
      <c r="P186" s="149"/>
    </row>
    <row r="187" spans="1:18" x14ac:dyDescent="0.25">
      <c r="A187" s="158" t="s">
        <v>23</v>
      </c>
      <c r="B187" s="156" t="s">
        <v>173</v>
      </c>
      <c r="O187" s="149"/>
      <c r="P187" s="149"/>
    </row>
    <row r="188" spans="1:18" x14ac:dyDescent="0.25">
      <c r="A188" s="158" t="s">
        <v>2</v>
      </c>
      <c r="B188" s="156" t="s">
        <v>283</v>
      </c>
      <c r="O188" s="149"/>
      <c r="P188" s="149"/>
    </row>
    <row r="189" spans="1:18" x14ac:dyDescent="0.25">
      <c r="A189" s="156" t="s">
        <v>52</v>
      </c>
      <c r="B189" s="156" t="s">
        <v>4</v>
      </c>
      <c r="O189" s="149"/>
      <c r="P189" s="149"/>
    </row>
    <row r="190" spans="1:18" x14ac:dyDescent="0.25">
      <c r="A190" s="156" t="s">
        <v>6</v>
      </c>
      <c r="B190" s="156" t="s">
        <v>21</v>
      </c>
      <c r="O190" s="149"/>
      <c r="P190" s="149"/>
    </row>
    <row r="191" spans="1:18" x14ac:dyDescent="0.25">
      <c r="A191" s="156" t="s">
        <v>100</v>
      </c>
      <c r="B191" s="156" t="s">
        <v>27</v>
      </c>
      <c r="O191" s="149"/>
      <c r="P191" s="149"/>
    </row>
    <row r="192" spans="1:18" x14ac:dyDescent="0.25">
      <c r="A192" s="156" t="s">
        <v>57</v>
      </c>
      <c r="B192" s="156" t="s">
        <v>26</v>
      </c>
      <c r="O192" s="149"/>
      <c r="P192" s="149"/>
    </row>
    <row r="193" spans="1:16" x14ac:dyDescent="0.25">
      <c r="A193" s="156" t="s">
        <v>100</v>
      </c>
      <c r="B193" s="156" t="s">
        <v>207</v>
      </c>
      <c r="O193" s="149"/>
      <c r="P193" s="149"/>
    </row>
    <row r="194" spans="1:16" x14ac:dyDescent="0.25">
      <c r="A194" s="156" t="s">
        <v>100</v>
      </c>
      <c r="B194" s="156" t="s">
        <v>284</v>
      </c>
      <c r="O194" s="149"/>
      <c r="P194" s="149"/>
    </row>
    <row r="195" spans="1:16" x14ac:dyDescent="0.25">
      <c r="A195" s="156" t="s">
        <v>270</v>
      </c>
      <c r="B195" s="156" t="s">
        <v>285</v>
      </c>
      <c r="O195" s="149"/>
      <c r="P195" s="149"/>
    </row>
    <row r="196" spans="1:16" x14ac:dyDescent="0.25">
      <c r="A196" s="156" t="s">
        <v>100</v>
      </c>
      <c r="B196" s="156" t="s">
        <v>286</v>
      </c>
    </row>
    <row r="197" spans="1:16" x14ac:dyDescent="0.25">
      <c r="A197" s="157" t="s">
        <v>1</v>
      </c>
      <c r="B197" s="156" t="s">
        <v>176</v>
      </c>
    </row>
    <row r="198" spans="1:16" x14ac:dyDescent="0.25">
      <c r="A198" s="157" t="s">
        <v>109</v>
      </c>
      <c r="B198" s="156" t="s">
        <v>287</v>
      </c>
    </row>
    <row r="199" spans="1:16" x14ac:dyDescent="0.25">
      <c r="A199" s="157" t="s">
        <v>104</v>
      </c>
      <c r="B199" s="156" t="s">
        <v>173</v>
      </c>
    </row>
  </sheetData>
  <mergeCells count="50">
    <mergeCell ref="P177:R177"/>
    <mergeCell ref="P178:R178"/>
    <mergeCell ref="P159:R159"/>
    <mergeCell ref="P168:R168"/>
    <mergeCell ref="P169:R169"/>
    <mergeCell ref="P167:R167"/>
    <mergeCell ref="P175:R175"/>
    <mergeCell ref="P170:R170"/>
    <mergeCell ref="P180:R180"/>
    <mergeCell ref="P181:R181"/>
    <mergeCell ref="P138:R138"/>
    <mergeCell ref="P171:R171"/>
    <mergeCell ref="P172:R172"/>
    <mergeCell ref="P173:R173"/>
    <mergeCell ref="P174:R174"/>
    <mergeCell ref="P163:R163"/>
    <mergeCell ref="P164:R164"/>
    <mergeCell ref="P160:R160"/>
    <mergeCell ref="P179:R179"/>
    <mergeCell ref="P152:R152"/>
    <mergeCell ref="P153:R153"/>
    <mergeCell ref="P176:R176"/>
    <mergeCell ref="P165:R165"/>
    <mergeCell ref="P166:R166"/>
    <mergeCell ref="P158:R158"/>
    <mergeCell ref="P162:R162"/>
    <mergeCell ref="P161:R161"/>
    <mergeCell ref="P148:R148"/>
    <mergeCell ref="P149:R149"/>
    <mergeCell ref="P150:R150"/>
    <mergeCell ref="P151:R151"/>
    <mergeCell ref="P154:R154"/>
    <mergeCell ref="P155:R155"/>
    <mergeCell ref="P156:R156"/>
    <mergeCell ref="P157:R157"/>
    <mergeCell ref="P147:R147"/>
    <mergeCell ref="P145:R145"/>
    <mergeCell ref="P146:R146"/>
    <mergeCell ref="Q1:Z1"/>
    <mergeCell ref="A67:A68"/>
    <mergeCell ref="Q2:U2"/>
    <mergeCell ref="V2:Z2"/>
    <mergeCell ref="O1:P2"/>
    <mergeCell ref="P139:R139"/>
    <mergeCell ref="A81:A83"/>
    <mergeCell ref="P140:R140"/>
    <mergeCell ref="P141:R141"/>
    <mergeCell ref="P142:R142"/>
    <mergeCell ref="P143:R143"/>
    <mergeCell ref="P144:R144"/>
  </mergeCells>
  <phoneticPr fontId="75"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2"/>
  <sheetViews>
    <sheetView workbookViewId="0">
      <selection activeCell="C54" sqref="C54"/>
    </sheetView>
  </sheetViews>
  <sheetFormatPr baseColWidth="10" defaultRowHeight="15" x14ac:dyDescent="0.25"/>
  <cols>
    <col min="1" max="1" width="32.140625" bestFit="1" customWidth="1"/>
    <col min="2" max="2" width="44" style="91" bestFit="1" customWidth="1"/>
    <col min="3" max="3" width="16.85546875" style="24" bestFit="1" customWidth="1"/>
    <col min="4" max="4" width="15.140625" style="24" bestFit="1" customWidth="1"/>
    <col min="5" max="5" width="13.140625" style="24" bestFit="1" customWidth="1"/>
    <col min="6" max="6" width="13.28515625" style="24" bestFit="1" customWidth="1"/>
    <col min="7" max="7" width="13.140625" style="24" bestFit="1" customWidth="1"/>
    <col min="8" max="8" width="13.28515625" style="24" bestFit="1" customWidth="1"/>
    <col min="9" max="9" width="13.140625" style="24" bestFit="1" customWidth="1"/>
    <col min="10" max="10" width="13.28515625" style="24" bestFit="1" customWidth="1"/>
    <col min="11" max="11" width="13.140625" style="24" bestFit="1" customWidth="1"/>
    <col min="12" max="12" width="13.28515625" style="24" bestFit="1" customWidth="1"/>
    <col min="13" max="13" width="23.42578125" style="116" bestFit="1" customWidth="1"/>
    <col min="14" max="14" width="30.28515625" customWidth="1"/>
  </cols>
  <sheetData>
    <row r="1" spans="1:14" ht="33" x14ac:dyDescent="0.25">
      <c r="A1" s="11" t="s">
        <v>93</v>
      </c>
      <c r="B1" s="84" t="s">
        <v>99</v>
      </c>
      <c r="C1" s="18" t="s">
        <v>111</v>
      </c>
      <c r="D1" s="18" t="s">
        <v>116</v>
      </c>
      <c r="E1" s="19" t="s">
        <v>112</v>
      </c>
      <c r="F1" s="19" t="s">
        <v>117</v>
      </c>
      <c r="G1" s="20" t="s">
        <v>113</v>
      </c>
      <c r="H1" s="20" t="s">
        <v>118</v>
      </c>
      <c r="I1" s="21" t="s">
        <v>115</v>
      </c>
      <c r="J1" s="21" t="s">
        <v>119</v>
      </c>
      <c r="K1" s="22" t="s">
        <v>114</v>
      </c>
      <c r="L1" s="22" t="s">
        <v>120</v>
      </c>
      <c r="M1" s="66" t="s">
        <v>75</v>
      </c>
      <c r="N1" s="11" t="s">
        <v>76</v>
      </c>
    </row>
    <row r="2" spans="1:14" x14ac:dyDescent="0.25">
      <c r="A2" s="82" t="s">
        <v>3</v>
      </c>
      <c r="B2" s="96" t="s">
        <v>218</v>
      </c>
      <c r="C2" s="37">
        <v>4.1428571428571433E-2</v>
      </c>
      <c r="D2" s="37">
        <v>5.4809516666666669E-2</v>
      </c>
      <c r="E2" s="37">
        <v>5.1785714285714289E-2</v>
      </c>
      <c r="F2" s="37">
        <v>6.8511895833333336E-2</v>
      </c>
      <c r="G2" s="37">
        <v>6.2142857142857146E-2</v>
      </c>
      <c r="H2" s="37">
        <v>8.2214275000000003E-2</v>
      </c>
      <c r="I2" s="37">
        <v>7.2499999999999995E-2</v>
      </c>
      <c r="J2" s="37">
        <v>9.5916654166666657E-2</v>
      </c>
      <c r="K2" s="37">
        <v>8.2857142857142865E-2</v>
      </c>
      <c r="L2" s="37">
        <v>0.10961903333333334</v>
      </c>
      <c r="M2" s="139" t="s">
        <v>130</v>
      </c>
      <c r="N2" s="43" t="s">
        <v>131</v>
      </c>
    </row>
    <row r="3" spans="1:14" x14ac:dyDescent="0.25">
      <c r="A3" s="83" t="s">
        <v>3</v>
      </c>
      <c r="B3" s="85" t="s">
        <v>214</v>
      </c>
      <c r="C3" s="36">
        <v>4.8031274739990908E-2</v>
      </c>
      <c r="D3" s="36">
        <v>6.3544816116135994E-2</v>
      </c>
      <c r="E3" s="36">
        <v>6.0039093424988636E-2</v>
      </c>
      <c r="F3" s="36">
        <v>7.943102014517002E-2</v>
      </c>
      <c r="G3" s="36">
        <v>7.2046912109986358E-2</v>
      </c>
      <c r="H3" s="36">
        <v>9.5317224174204004E-2</v>
      </c>
      <c r="I3" s="36">
        <v>8.4054730794984087E-2</v>
      </c>
      <c r="J3" s="36">
        <v>0.111203428203238</v>
      </c>
      <c r="K3" s="36">
        <v>9.6062549479981815E-2</v>
      </c>
      <c r="L3" s="36">
        <v>0.12708963223227199</v>
      </c>
      <c r="M3" s="140" t="s">
        <v>213</v>
      </c>
      <c r="N3" s="43"/>
    </row>
    <row r="4" spans="1:14" x14ac:dyDescent="0.25">
      <c r="A4" s="81" t="s">
        <v>182</v>
      </c>
      <c r="B4" s="85" t="s">
        <v>214</v>
      </c>
      <c r="C4" s="36">
        <v>0.16582986056660684</v>
      </c>
      <c r="D4" s="36">
        <v>0.21939097084791426</v>
      </c>
      <c r="E4" s="36">
        <v>0.20728732570825856</v>
      </c>
      <c r="F4" s="36">
        <v>0.27423871355989282</v>
      </c>
      <c r="G4" s="36">
        <v>0.24874479084991025</v>
      </c>
      <c r="H4" s="36">
        <v>0.32908645627187133</v>
      </c>
      <c r="I4" s="36">
        <v>0.29020225599156196</v>
      </c>
      <c r="J4" s="36">
        <v>0.38393419898384989</v>
      </c>
      <c r="K4" s="36">
        <v>0.33165972113321368</v>
      </c>
      <c r="L4" s="36">
        <v>0.43878194169582851</v>
      </c>
      <c r="M4" s="140" t="s">
        <v>213</v>
      </c>
      <c r="N4" s="43"/>
    </row>
    <row r="5" spans="1:14" x14ac:dyDescent="0.25">
      <c r="A5" s="81" t="s">
        <v>4</v>
      </c>
      <c r="B5" s="85" t="s">
        <v>214</v>
      </c>
      <c r="C5" s="36">
        <v>1.3848916202570057E-2</v>
      </c>
      <c r="D5" s="36">
        <v>3.0548862620709202E-2</v>
      </c>
      <c r="E5" s="36">
        <v>1.7311145253212572E-2</v>
      </c>
      <c r="F5" s="36">
        <v>3.8186078275886506E-2</v>
      </c>
      <c r="G5" s="36">
        <v>2.0773374303855088E-2</v>
      </c>
      <c r="H5" s="36">
        <v>4.582329393106381E-2</v>
      </c>
      <c r="I5" s="36">
        <v>2.4235603354497599E-2</v>
      </c>
      <c r="J5" s="36">
        <v>5.3460509586241108E-2</v>
      </c>
      <c r="K5" s="36">
        <v>2.7697832405140115E-2</v>
      </c>
      <c r="L5" s="36">
        <v>6.1097725241418405E-2</v>
      </c>
      <c r="M5" s="140" t="s">
        <v>213</v>
      </c>
      <c r="N5" s="43"/>
    </row>
    <row r="6" spans="1:14" x14ac:dyDescent="0.25">
      <c r="A6" s="81" t="s">
        <v>156</v>
      </c>
      <c r="B6" s="85" t="s">
        <v>214</v>
      </c>
      <c r="C6" s="36">
        <v>5.0088755536270436E-2</v>
      </c>
      <c r="D6" s="36">
        <v>0.14975536130234138</v>
      </c>
      <c r="E6" s="36">
        <v>6.2610944420338044E-2</v>
      </c>
      <c r="F6" s="36">
        <v>0.18719420162792669</v>
      </c>
      <c r="G6" s="36">
        <v>7.5133133304405658E-2</v>
      </c>
      <c r="H6" s="36">
        <v>0.22463304195351205</v>
      </c>
      <c r="I6" s="36">
        <v>8.7655322188473273E-2</v>
      </c>
      <c r="J6" s="36">
        <v>0.26207188227909739</v>
      </c>
      <c r="K6" s="36">
        <v>0.10017751107254087</v>
      </c>
      <c r="L6" s="36">
        <v>0.29951072260468276</v>
      </c>
      <c r="M6" s="140" t="s">
        <v>213</v>
      </c>
      <c r="N6" s="43"/>
    </row>
    <row r="7" spans="1:14" x14ac:dyDescent="0.25">
      <c r="A7" s="2" t="s">
        <v>5</v>
      </c>
      <c r="B7" s="87"/>
      <c r="C7" s="36"/>
      <c r="D7" s="36"/>
      <c r="E7" s="36"/>
      <c r="F7" s="36"/>
      <c r="G7" s="36"/>
      <c r="H7" s="36"/>
      <c r="I7" s="36"/>
      <c r="J7" s="36"/>
      <c r="K7" s="36"/>
      <c r="L7" s="36"/>
      <c r="M7" s="141"/>
      <c r="N7" s="43"/>
    </row>
    <row r="8" spans="1:14" x14ac:dyDescent="0.25">
      <c r="A8" s="82" t="s">
        <v>6</v>
      </c>
      <c r="B8" s="96" t="s">
        <v>218</v>
      </c>
      <c r="C8" s="36">
        <v>2.4235603354497599E-2</v>
      </c>
      <c r="D8" s="36">
        <v>4.3252439999999996E-2</v>
      </c>
      <c r="E8" s="36">
        <v>6.0999999999999999E-2</v>
      </c>
      <c r="F8" s="36">
        <v>0.12563804000000001</v>
      </c>
      <c r="G8" s="36">
        <v>0.112</v>
      </c>
      <c r="H8" s="36">
        <v>0.23067968000000003</v>
      </c>
      <c r="I8" s="36">
        <v>0.17499999999999999</v>
      </c>
      <c r="J8" s="36">
        <v>0.36043700000000001</v>
      </c>
      <c r="K8" s="37">
        <v>0.246</v>
      </c>
      <c r="L8" s="36">
        <v>0.50667143999999997</v>
      </c>
      <c r="M8" s="139" t="s">
        <v>130</v>
      </c>
      <c r="N8" s="43"/>
    </row>
    <row r="9" spans="1:14" x14ac:dyDescent="0.25">
      <c r="A9" s="83" t="s">
        <v>6</v>
      </c>
      <c r="B9" s="85" t="s">
        <v>214</v>
      </c>
      <c r="C9" s="36">
        <v>3.1447806237851809E-2</v>
      </c>
      <c r="D9" s="36">
        <v>6.4771159639729098E-2</v>
      </c>
      <c r="E9" s="36">
        <v>3.9309757797314764E-2</v>
      </c>
      <c r="F9" s="36">
        <v>8.0963949549661379E-2</v>
      </c>
      <c r="G9" s="36">
        <v>4.7171709356777711E-2</v>
      </c>
      <c r="H9" s="36">
        <v>9.7156739459593647E-2</v>
      </c>
      <c r="I9" s="36">
        <v>5.5033660916240665E-2</v>
      </c>
      <c r="J9" s="36">
        <v>0.11334952936952593</v>
      </c>
      <c r="K9" s="36">
        <v>6.2895612475703619E-2</v>
      </c>
      <c r="L9" s="36">
        <v>0.1295423192794582</v>
      </c>
      <c r="M9" s="140" t="s">
        <v>213</v>
      </c>
      <c r="N9" s="43"/>
    </row>
    <row r="10" spans="1:14" x14ac:dyDescent="0.25">
      <c r="A10" s="2" t="s">
        <v>7</v>
      </c>
      <c r="B10" s="87"/>
      <c r="C10" s="36"/>
      <c r="D10" s="36"/>
      <c r="E10" s="36"/>
      <c r="F10" s="36"/>
      <c r="G10" s="36"/>
      <c r="H10" s="36"/>
      <c r="I10" s="36"/>
      <c r="J10" s="36"/>
      <c r="K10" s="36"/>
      <c r="L10" s="36"/>
      <c r="M10" s="141"/>
      <c r="N10" s="43"/>
    </row>
    <row r="11" spans="1:14" x14ac:dyDescent="0.25">
      <c r="A11" s="83" t="s">
        <v>8</v>
      </c>
      <c r="B11" s="85" t="s">
        <v>214</v>
      </c>
      <c r="C11" s="36">
        <v>3.0717644461124231E-2</v>
      </c>
      <c r="D11" s="36">
        <v>5.9604517312365456E-2</v>
      </c>
      <c r="E11" s="36">
        <v>3.8397055576405291E-2</v>
      </c>
      <c r="F11" s="36">
        <v>7.4505646640456821E-2</v>
      </c>
      <c r="G11" s="36">
        <v>4.6076466691686351E-2</v>
      </c>
      <c r="H11" s="36">
        <v>8.9406775968548208E-2</v>
      </c>
      <c r="I11" s="36">
        <v>5.375587780696741E-2</v>
      </c>
      <c r="J11" s="36">
        <v>0.10430790529663955</v>
      </c>
      <c r="K11" s="36">
        <v>6.1435288922248463E-2</v>
      </c>
      <c r="L11" s="36">
        <v>0.11920903462473091</v>
      </c>
      <c r="M11" s="140" t="s">
        <v>213</v>
      </c>
      <c r="N11" s="43"/>
    </row>
    <row r="12" spans="1:14" x14ac:dyDescent="0.25">
      <c r="A12" s="39" t="s">
        <v>2</v>
      </c>
      <c r="B12" s="96" t="s">
        <v>218</v>
      </c>
      <c r="C12" s="36">
        <v>1.0999999999999999E-2</v>
      </c>
      <c r="D12" s="36">
        <v>2.2141386666666665E-2</v>
      </c>
      <c r="E12" s="36">
        <v>0.04</v>
      </c>
      <c r="F12" s="36">
        <v>8.0514133333333335E-2</v>
      </c>
      <c r="G12" s="36">
        <v>7.3999999999999996E-2</v>
      </c>
      <c r="H12" s="36">
        <v>0.14895114666666667</v>
      </c>
      <c r="I12" s="36">
        <v>0.112</v>
      </c>
      <c r="J12" s="36">
        <v>0.22543957333333331</v>
      </c>
      <c r="K12" s="37">
        <v>0.151</v>
      </c>
      <c r="L12" s="36">
        <v>0.30394085333333332</v>
      </c>
      <c r="M12" s="139" t="s">
        <v>130</v>
      </c>
      <c r="N12" s="43"/>
    </row>
    <row r="13" spans="1:14" x14ac:dyDescent="0.25">
      <c r="A13" s="38" t="s">
        <v>2</v>
      </c>
      <c r="B13" s="137" t="s">
        <v>242</v>
      </c>
      <c r="C13" s="36"/>
      <c r="D13" s="36">
        <v>4.3707006369426753E-2</v>
      </c>
      <c r="E13" s="36"/>
      <c r="F13" s="36">
        <v>7.9045013883379617E-2</v>
      </c>
      <c r="G13" s="36"/>
      <c r="H13" s="36">
        <v>0.13044307692307691</v>
      </c>
      <c r="I13" s="36"/>
      <c r="J13" s="36">
        <v>0.2005983526734926</v>
      </c>
      <c r="K13" s="37"/>
      <c r="L13" s="36">
        <v>0.28954389370306183</v>
      </c>
      <c r="M13" s="28" t="s">
        <v>81</v>
      </c>
      <c r="N13" s="43"/>
    </row>
    <row r="14" spans="1:14" x14ac:dyDescent="0.25">
      <c r="A14" s="83" t="s">
        <v>2</v>
      </c>
      <c r="B14" s="85" t="s">
        <v>214</v>
      </c>
      <c r="C14" s="36">
        <v>3.0940271672411278E-2</v>
      </c>
      <c r="D14" s="36">
        <v>6.2278228970051946E-2</v>
      </c>
      <c r="E14" s="36">
        <v>3.8675339590514099E-2</v>
      </c>
      <c r="F14" s="36">
        <v>7.784778621256494E-2</v>
      </c>
      <c r="G14" s="36">
        <v>4.6410407508616913E-2</v>
      </c>
      <c r="H14" s="36">
        <v>9.3417343455077906E-2</v>
      </c>
      <c r="I14" s="36">
        <v>5.4145475426719734E-2</v>
      </c>
      <c r="J14" s="36">
        <v>0.1089869006975909</v>
      </c>
      <c r="K14" s="36">
        <v>6.1880543344822556E-2</v>
      </c>
      <c r="L14" s="36">
        <v>0.12455645794010389</v>
      </c>
      <c r="M14" s="140" t="s">
        <v>213</v>
      </c>
      <c r="N14" s="43"/>
    </row>
    <row r="15" spans="1:14" x14ac:dyDescent="0.25">
      <c r="A15" s="134" t="s">
        <v>2</v>
      </c>
      <c r="B15" s="138" t="s">
        <v>245</v>
      </c>
      <c r="C15" s="36"/>
      <c r="D15" s="36">
        <v>5.5384426799168551E-2</v>
      </c>
      <c r="E15" s="36"/>
      <c r="F15" s="36">
        <v>9.2649280417025512E-2</v>
      </c>
      <c r="G15" s="36"/>
      <c r="H15" s="36">
        <v>0.14159152880542167</v>
      </c>
      <c r="I15" s="36"/>
      <c r="J15" s="36">
        <v>0.20846959774569435</v>
      </c>
      <c r="K15" s="36"/>
      <c r="L15" s="36">
        <v>0.29232713581836017</v>
      </c>
      <c r="M15" s="142" t="s">
        <v>85</v>
      </c>
      <c r="N15" s="43"/>
    </row>
    <row r="16" spans="1:14" x14ac:dyDescent="0.25">
      <c r="A16" s="2" t="s">
        <v>9</v>
      </c>
      <c r="B16" s="87"/>
      <c r="C16" s="36"/>
      <c r="D16" s="36"/>
      <c r="E16" s="36"/>
      <c r="F16" s="36"/>
      <c r="G16" s="36"/>
      <c r="H16" s="36"/>
      <c r="I16" s="36"/>
      <c r="J16" s="36"/>
      <c r="K16" s="36"/>
      <c r="L16" s="36"/>
      <c r="M16" s="141"/>
      <c r="N16" s="43"/>
    </row>
    <row r="17" spans="1:14" x14ac:dyDescent="0.25">
      <c r="A17" s="27" t="s">
        <v>10</v>
      </c>
      <c r="B17" s="96" t="s">
        <v>218</v>
      </c>
      <c r="C17" s="36">
        <v>8.5999999999999993E-2</v>
      </c>
      <c r="D17" s="36">
        <v>0.20894774999999999</v>
      </c>
      <c r="E17" s="36">
        <v>0.1075</v>
      </c>
      <c r="F17" s="36">
        <v>0.26118468749999996</v>
      </c>
      <c r="G17" s="36">
        <v>0.129</v>
      </c>
      <c r="H17" s="36">
        <v>0.31342162499999998</v>
      </c>
      <c r="I17" s="36">
        <v>0.19950000000000001</v>
      </c>
      <c r="J17" s="36">
        <v>0.4847101875</v>
      </c>
      <c r="K17" s="36">
        <v>0.22800000000000001</v>
      </c>
      <c r="L17" s="36">
        <v>0.55395450000000002</v>
      </c>
      <c r="M17" s="139" t="s">
        <v>130</v>
      </c>
      <c r="N17" s="43" t="s">
        <v>128</v>
      </c>
    </row>
    <row r="18" spans="1:14" x14ac:dyDescent="0.25">
      <c r="A18" s="83" t="s">
        <v>10</v>
      </c>
      <c r="B18" s="85" t="s">
        <v>214</v>
      </c>
      <c r="C18" s="36">
        <v>5.1085313145785793E-2</v>
      </c>
      <c r="D18" s="36">
        <v>0.1241181539518298</v>
      </c>
      <c r="E18" s="36">
        <v>6.3856641432232242E-2</v>
      </c>
      <c r="F18" s="36">
        <v>0.15514769243978724</v>
      </c>
      <c r="G18" s="36">
        <v>7.662796971867869E-2</v>
      </c>
      <c r="H18" s="36">
        <v>0.18617723092774471</v>
      </c>
      <c r="I18" s="36">
        <v>8.9399298005125138E-2</v>
      </c>
      <c r="J18" s="36">
        <v>0.21720676941570213</v>
      </c>
      <c r="K18" s="36">
        <v>0.10217062629157159</v>
      </c>
      <c r="L18" s="36">
        <v>0.24823630790365961</v>
      </c>
      <c r="M18" s="140" t="s">
        <v>213</v>
      </c>
      <c r="N18" s="43"/>
    </row>
    <row r="19" spans="1:14" x14ac:dyDescent="0.25">
      <c r="A19" s="92" t="s">
        <v>172</v>
      </c>
      <c r="B19" s="85" t="s">
        <v>214</v>
      </c>
      <c r="C19" s="36">
        <v>1.4595690686994803E-2</v>
      </c>
      <c r="D19" s="36">
        <v>6.1960458449175387E-2</v>
      </c>
      <c r="E19" s="36">
        <v>1.8244613358743503E-2</v>
      </c>
      <c r="F19" s="36">
        <v>7.7450573061469213E-2</v>
      </c>
      <c r="G19" s="36">
        <v>2.1893536030492204E-2</v>
      </c>
      <c r="H19" s="36">
        <v>9.2940687673763067E-2</v>
      </c>
      <c r="I19" s="36">
        <v>2.5542458702240905E-2</v>
      </c>
      <c r="J19" s="36">
        <v>0.10843080228605692</v>
      </c>
      <c r="K19" s="36">
        <v>2.9191381373989606E-2</v>
      </c>
      <c r="L19" s="36">
        <v>0.12392091689835077</v>
      </c>
      <c r="M19" s="140" t="s">
        <v>213</v>
      </c>
      <c r="N19" s="43"/>
    </row>
    <row r="20" spans="1:14" x14ac:dyDescent="0.25">
      <c r="A20" s="2" t="s">
        <v>11</v>
      </c>
      <c r="B20" s="87"/>
      <c r="C20" s="36"/>
      <c r="D20" s="36"/>
      <c r="E20" s="36"/>
      <c r="F20" s="36"/>
      <c r="G20" s="36"/>
      <c r="H20" s="36"/>
      <c r="I20" s="36"/>
      <c r="J20" s="36"/>
      <c r="K20" s="36"/>
      <c r="L20" s="36"/>
      <c r="M20" s="141"/>
      <c r="N20" s="43"/>
    </row>
    <row r="21" spans="1:14" x14ac:dyDescent="0.25">
      <c r="A21" s="2" t="s">
        <v>12</v>
      </c>
      <c r="B21" s="87"/>
      <c r="C21" s="36"/>
      <c r="D21" s="36"/>
      <c r="E21" s="36"/>
      <c r="F21" s="36"/>
      <c r="G21" s="36"/>
      <c r="H21" s="36"/>
      <c r="I21" s="36"/>
      <c r="J21" s="36"/>
      <c r="K21" s="36"/>
      <c r="L21" s="36"/>
      <c r="M21" s="141"/>
      <c r="N21" s="43"/>
    </row>
    <row r="22" spans="1:14" x14ac:dyDescent="0.25">
      <c r="A22" s="92" t="s">
        <v>13</v>
      </c>
      <c r="B22" s="85" t="s">
        <v>214</v>
      </c>
      <c r="C22" s="36">
        <v>7.0330285525162482E-3</v>
      </c>
      <c r="D22" s="36">
        <v>7.2902029632532592E-3</v>
      </c>
      <c r="E22" s="36">
        <v>8.7912856906453094E-3</v>
      </c>
      <c r="F22" s="36">
        <v>9.1127537040665719E-3</v>
      </c>
      <c r="G22" s="36">
        <v>1.0549542828774372E-2</v>
      </c>
      <c r="H22" s="36">
        <v>1.0935304444879886E-2</v>
      </c>
      <c r="I22" s="36">
        <v>1.2307799966903434E-2</v>
      </c>
      <c r="J22" s="36">
        <v>1.2757855185693201E-2</v>
      </c>
      <c r="K22" s="36">
        <v>1.4066057105032496E-2</v>
      </c>
      <c r="L22" s="36">
        <v>1.4580405926506518E-2</v>
      </c>
      <c r="M22" s="140" t="s">
        <v>213</v>
      </c>
      <c r="N22" s="43"/>
    </row>
    <row r="23" spans="1:14" x14ac:dyDescent="0.25">
      <c r="A23" s="2" t="s">
        <v>14</v>
      </c>
      <c r="B23" s="87"/>
      <c r="C23" s="36"/>
      <c r="D23" s="36"/>
      <c r="E23" s="36"/>
      <c r="F23" s="36"/>
      <c r="G23" s="36"/>
      <c r="H23" s="36"/>
      <c r="I23" s="36"/>
      <c r="J23" s="36"/>
      <c r="K23" s="36"/>
      <c r="L23" s="36"/>
      <c r="M23" s="141"/>
      <c r="N23" s="43"/>
    </row>
    <row r="24" spans="1:14" x14ac:dyDescent="0.25">
      <c r="A24" s="92" t="s">
        <v>15</v>
      </c>
      <c r="B24" s="85" t="s">
        <v>214</v>
      </c>
      <c r="C24" s="36">
        <v>3.5519916783877857E-2</v>
      </c>
      <c r="D24" s="36">
        <v>7.8352200436330038E-2</v>
      </c>
      <c r="E24" s="36">
        <v>4.4399895979847323E-2</v>
      </c>
      <c r="F24" s="36">
        <v>9.7940250545412541E-2</v>
      </c>
      <c r="G24" s="36">
        <v>5.3279875175816782E-2</v>
      </c>
      <c r="H24" s="36">
        <v>0.11752830065449504</v>
      </c>
      <c r="I24" s="36">
        <v>6.2159854371786248E-2</v>
      </c>
      <c r="J24" s="36">
        <v>0.13711635076357756</v>
      </c>
      <c r="K24" s="36">
        <v>7.1039833567755714E-2</v>
      </c>
      <c r="L24" s="36">
        <v>0.15670440087266008</v>
      </c>
      <c r="M24" s="140" t="s">
        <v>213</v>
      </c>
      <c r="N24" s="43"/>
    </row>
    <row r="25" spans="1:14" x14ac:dyDescent="0.25">
      <c r="A25" s="92" t="s">
        <v>17</v>
      </c>
      <c r="B25" s="85" t="s">
        <v>214</v>
      </c>
      <c r="C25" s="36">
        <v>0.13780596631208833</v>
      </c>
      <c r="D25" s="36">
        <v>0.26739869703197616</v>
      </c>
      <c r="E25" s="36">
        <v>0.23625044309191207</v>
      </c>
      <c r="F25" s="36">
        <v>0.45842035977554618</v>
      </c>
      <c r="G25" s="36">
        <v>0.31672869557299338</v>
      </c>
      <c r="H25" s="36">
        <v>0.61458036088983636</v>
      </c>
      <c r="I25" s="36">
        <v>0.46409651535326579</v>
      </c>
      <c r="J25" s="36">
        <v>0.900532878391477</v>
      </c>
      <c r="K25" s="36">
        <v>0.54009296361673664</v>
      </c>
      <c r="L25" s="36">
        <v>1.0479963866019157</v>
      </c>
      <c r="M25" s="140" t="s">
        <v>213</v>
      </c>
      <c r="N25" s="43"/>
    </row>
    <row r="26" spans="1:14" x14ac:dyDescent="0.25">
      <c r="A26" s="2" t="s">
        <v>18</v>
      </c>
      <c r="B26" s="87"/>
      <c r="C26" s="36"/>
      <c r="D26" s="36"/>
      <c r="E26" s="36"/>
      <c r="F26" s="36"/>
      <c r="G26" s="36"/>
      <c r="H26" s="36"/>
      <c r="I26" s="36"/>
      <c r="J26" s="36"/>
      <c r="K26" s="36"/>
      <c r="L26" s="36"/>
      <c r="M26" s="141"/>
      <c r="N26" s="43"/>
    </row>
    <row r="27" spans="1:14" x14ac:dyDescent="0.25">
      <c r="A27" s="2" t="s">
        <v>19</v>
      </c>
      <c r="B27" s="87"/>
      <c r="C27" s="36"/>
      <c r="D27" s="36"/>
      <c r="E27" s="36"/>
      <c r="F27" s="36"/>
      <c r="G27" s="36"/>
      <c r="H27" s="36"/>
      <c r="I27" s="36"/>
      <c r="J27" s="36"/>
      <c r="K27" s="36"/>
      <c r="L27" s="36"/>
      <c r="M27" s="141"/>
      <c r="N27" s="43"/>
    </row>
    <row r="28" spans="1:14" x14ac:dyDescent="0.25">
      <c r="A28" s="2" t="s">
        <v>20</v>
      </c>
      <c r="B28" s="87"/>
      <c r="C28" s="36"/>
      <c r="D28" s="36"/>
      <c r="E28" s="36"/>
      <c r="F28" s="36"/>
      <c r="G28" s="36"/>
      <c r="H28" s="36"/>
      <c r="I28" s="36"/>
      <c r="J28" s="36"/>
      <c r="K28" s="36"/>
      <c r="L28" s="36"/>
      <c r="M28" s="141"/>
      <c r="N28" s="43"/>
    </row>
    <row r="29" spans="1:14" x14ac:dyDescent="0.25">
      <c r="A29" s="92" t="s">
        <v>21</v>
      </c>
      <c r="B29" s="85" t="s">
        <v>214</v>
      </c>
      <c r="C29" s="36">
        <v>2.1782229937322616E-2</v>
      </c>
      <c r="D29" s="36">
        <v>4.2905184381875593E-2</v>
      </c>
      <c r="E29" s="36">
        <v>5.6877202471395945E-2</v>
      </c>
      <c r="F29" s="36">
        <v>0.11203292161465764</v>
      </c>
      <c r="G29" s="36">
        <v>0.10415920175927618</v>
      </c>
      <c r="H29" s="36">
        <v>0.20516585167863827</v>
      </c>
      <c r="I29" s="36">
        <v>0.17662290093811014</v>
      </c>
      <c r="J29" s="36">
        <v>0.34790001540782683</v>
      </c>
      <c r="K29" s="36">
        <v>0.20185474392926872</v>
      </c>
      <c r="L29" s="36">
        <v>0.39760001760894487</v>
      </c>
      <c r="M29" s="140" t="s">
        <v>213</v>
      </c>
      <c r="N29" s="43"/>
    </row>
    <row r="30" spans="1:14" x14ac:dyDescent="0.25">
      <c r="A30" s="39" t="s">
        <v>22</v>
      </c>
      <c r="B30" s="96" t="s">
        <v>218</v>
      </c>
      <c r="C30" s="36">
        <v>0.125</v>
      </c>
      <c r="D30" s="36">
        <v>0.32874187500000002</v>
      </c>
      <c r="E30" s="36">
        <v>0.23599999999999999</v>
      </c>
      <c r="F30" s="36">
        <v>0.62066466000000009</v>
      </c>
      <c r="G30" s="36">
        <v>0.379</v>
      </c>
      <c r="H30" s="36">
        <v>0.99674536500000011</v>
      </c>
      <c r="I30" s="36">
        <v>0.55600000000000005</v>
      </c>
      <c r="J30" s="36">
        <v>1.4622438600000003</v>
      </c>
      <c r="K30" s="37">
        <v>0.79100000000000004</v>
      </c>
      <c r="L30" s="36">
        <v>2.0802785849999998</v>
      </c>
      <c r="M30" s="139" t="s">
        <v>130</v>
      </c>
      <c r="N30" s="43" t="s">
        <v>147</v>
      </c>
    </row>
    <row r="31" spans="1:14" x14ac:dyDescent="0.25">
      <c r="A31" s="93" t="s">
        <v>22</v>
      </c>
      <c r="B31" s="85" t="s">
        <v>214</v>
      </c>
      <c r="C31" s="36">
        <v>0.15392749325002175</v>
      </c>
      <c r="D31" s="36">
        <v>0.40481930196049593</v>
      </c>
      <c r="E31" s="36">
        <v>0.37893651576316562</v>
      </c>
      <c r="F31" s="36">
        <v>0.99657840558360089</v>
      </c>
      <c r="G31" s="36">
        <v>0.59538658646021636</v>
      </c>
      <c r="H31" s="36">
        <v>1.5658280222622489</v>
      </c>
      <c r="I31" s="36">
        <v>0.84971838900000141</v>
      </c>
      <c r="J31" s="36">
        <v>2.2347041313747185</v>
      </c>
      <c r="K31" s="36">
        <v>1.3428742516056231</v>
      </c>
      <c r="L31" s="36">
        <v>3.5316719948964348</v>
      </c>
      <c r="M31" s="140" t="s">
        <v>213</v>
      </c>
      <c r="N31" s="43"/>
    </row>
    <row r="32" spans="1:14" x14ac:dyDescent="0.25">
      <c r="A32" s="39" t="s">
        <v>23</v>
      </c>
      <c r="B32" s="96" t="s">
        <v>218</v>
      </c>
      <c r="C32" s="36">
        <v>0.20599999999999999</v>
      </c>
      <c r="D32" s="36">
        <v>0.54176661000000004</v>
      </c>
      <c r="E32" s="36">
        <v>0.41299999999999998</v>
      </c>
      <c r="F32" s="36">
        <v>1.0861631549999999</v>
      </c>
      <c r="G32" s="36">
        <v>0.69499999999999995</v>
      </c>
      <c r="H32" s="36">
        <v>1.8278048250000001</v>
      </c>
      <c r="I32" s="36">
        <v>1.06</v>
      </c>
      <c r="J32" s="36">
        <v>2.7877310999999998</v>
      </c>
      <c r="K32" s="37">
        <v>1.516</v>
      </c>
      <c r="L32" s="36">
        <v>3.9869814600000004</v>
      </c>
      <c r="M32" s="139" t="s">
        <v>130</v>
      </c>
      <c r="N32" s="43"/>
    </row>
    <row r="33" spans="1:14" x14ac:dyDescent="0.25">
      <c r="A33" s="93" t="s">
        <v>23</v>
      </c>
      <c r="B33" s="85" t="s">
        <v>214</v>
      </c>
      <c r="C33" s="36">
        <v>0.21657651092854194</v>
      </c>
      <c r="D33" s="36">
        <v>0.56958214626885495</v>
      </c>
      <c r="E33" s="36">
        <v>0.52885328240384577</v>
      </c>
      <c r="F33" s="36">
        <v>1.3908497572587581</v>
      </c>
      <c r="G33" s="36">
        <v>0.77421299017539003</v>
      </c>
      <c r="H33" s="36">
        <v>2.0361298403169146</v>
      </c>
      <c r="I33" s="36">
        <v>1.139698442797263</v>
      </c>
      <c r="J33" s="36">
        <v>2.9973328241580197</v>
      </c>
      <c r="K33" s="36">
        <v>1.8531260035092387</v>
      </c>
      <c r="L33" s="36">
        <v>4.8736009360390691</v>
      </c>
      <c r="M33" s="140" t="s">
        <v>213</v>
      </c>
      <c r="N33" s="43"/>
    </row>
    <row r="34" spans="1:14" x14ac:dyDescent="0.25">
      <c r="A34" s="38" t="s">
        <v>24</v>
      </c>
      <c r="B34" s="88" t="s">
        <v>95</v>
      </c>
      <c r="C34" s="36">
        <v>8.8111193844626467E-3</v>
      </c>
      <c r="D34" s="36">
        <f>'Alt_diám tablas producc'!E63</f>
        <v>3.769774343225004E-3</v>
      </c>
      <c r="E34" s="36">
        <v>4.2000000000000003E-2</v>
      </c>
      <c r="F34" s="36">
        <f>'Alt_diám tablas producc'!F63</f>
        <v>2.2674170139378728E-2</v>
      </c>
      <c r="G34" s="36">
        <v>4.8687782805429861E-2</v>
      </c>
      <c r="H34" s="36">
        <f>'Alt_diám tablas producc'!G63</f>
        <v>2.720900416725448E-2</v>
      </c>
      <c r="I34" s="36">
        <v>0.15</v>
      </c>
      <c r="J34" s="36">
        <f>'Alt_diám tablas producc'!H63</f>
        <v>6.9703150798753E-2</v>
      </c>
      <c r="K34" s="36">
        <v>0.13102971665514859</v>
      </c>
      <c r="L34" s="36">
        <v>0.22629552729785765</v>
      </c>
      <c r="M34" s="28" t="s">
        <v>81</v>
      </c>
      <c r="N34" s="43" t="s">
        <v>124</v>
      </c>
    </row>
    <row r="35" spans="1:14" x14ac:dyDescent="0.25">
      <c r="A35" s="39" t="s">
        <v>24</v>
      </c>
      <c r="B35" s="96" t="s">
        <v>218</v>
      </c>
      <c r="C35" s="36">
        <v>4.2571428571428573E-2</v>
      </c>
      <c r="D35" s="36">
        <v>7.3523198571428569E-2</v>
      </c>
      <c r="E35" s="36">
        <v>5.3214285714285714E-2</v>
      </c>
      <c r="F35" s="36">
        <v>9.1903998214285729E-2</v>
      </c>
      <c r="G35" s="36">
        <v>6.3857142857142848E-2</v>
      </c>
      <c r="H35" s="36">
        <v>0.11028479785714285</v>
      </c>
      <c r="I35" s="36">
        <v>7.4499999999999997E-2</v>
      </c>
      <c r="J35" s="36">
        <v>0.12866559750000001</v>
      </c>
      <c r="K35" s="36">
        <v>8.5142857142857145E-2</v>
      </c>
      <c r="L35" s="36">
        <v>0.14704639714285714</v>
      </c>
      <c r="M35" s="139" t="s">
        <v>130</v>
      </c>
      <c r="N35" s="43" t="s">
        <v>131</v>
      </c>
    </row>
    <row r="36" spans="1:14" x14ac:dyDescent="0.25">
      <c r="A36" s="93" t="s">
        <v>24</v>
      </c>
      <c r="B36" s="85" t="s">
        <v>214</v>
      </c>
      <c r="C36" s="36">
        <v>2.6003723150912643E-2</v>
      </c>
      <c r="D36" s="36">
        <v>4.4909860086399439E-2</v>
      </c>
      <c r="E36" s="36">
        <v>3.2504653938640805E-2</v>
      </c>
      <c r="F36" s="36">
        <v>5.6137325107999299E-2</v>
      </c>
      <c r="G36" s="36">
        <v>3.9005584726368968E-2</v>
      </c>
      <c r="H36" s="36">
        <v>6.7364790129599159E-2</v>
      </c>
      <c r="I36" s="36">
        <v>4.5506515514097123E-2</v>
      </c>
      <c r="J36" s="36">
        <v>7.8592255151199011E-2</v>
      </c>
      <c r="K36" s="36">
        <v>5.2007446301825286E-2</v>
      </c>
      <c r="L36" s="36">
        <f>'Alt_diám tablas producc'!J66</f>
        <v>0</v>
      </c>
      <c r="M36" s="140" t="s">
        <v>213</v>
      </c>
      <c r="N36" s="43"/>
    </row>
    <row r="37" spans="1:14" x14ac:dyDescent="0.25">
      <c r="A37" s="136" t="s">
        <v>24</v>
      </c>
      <c r="B37" s="135"/>
      <c r="C37" s="36"/>
      <c r="D37" s="36">
        <v>3.2941541673333324E-2</v>
      </c>
      <c r="E37" s="36"/>
      <c r="F37" s="36">
        <v>5.5124144023437502E-2</v>
      </c>
      <c r="G37" s="36"/>
      <c r="H37" s="36">
        <v>0.11843504199999999</v>
      </c>
      <c r="I37" s="36"/>
      <c r="J37" s="36">
        <v>0.17066866221913576</v>
      </c>
      <c r="K37" s="36"/>
      <c r="L37" s="36">
        <v>0.24759816345000005</v>
      </c>
      <c r="M37" s="142" t="s">
        <v>85</v>
      </c>
      <c r="N37" s="43"/>
    </row>
    <row r="38" spans="1:14" x14ac:dyDescent="0.25">
      <c r="A38" s="39" t="s">
        <v>1</v>
      </c>
      <c r="B38" s="96" t="s">
        <v>218</v>
      </c>
      <c r="C38" s="36">
        <v>5.5E-2</v>
      </c>
      <c r="D38" s="36">
        <v>0.12587226666666668</v>
      </c>
      <c r="E38" s="36">
        <v>6.8750000000000006E-2</v>
      </c>
      <c r="F38" s="36">
        <v>0.15734033333333336</v>
      </c>
      <c r="G38" s="36">
        <v>8.2500000000000004E-2</v>
      </c>
      <c r="H38" s="36">
        <v>0.18880840000000004</v>
      </c>
      <c r="I38" s="36">
        <v>9.6250000000000002E-2</v>
      </c>
      <c r="J38" s="36">
        <v>0.22027646666666667</v>
      </c>
      <c r="K38" s="37">
        <v>0.11</v>
      </c>
      <c r="L38" s="36">
        <v>0.25174453333333335</v>
      </c>
      <c r="M38" s="139" t="s">
        <v>130</v>
      </c>
      <c r="N38" s="43" t="s">
        <v>148</v>
      </c>
    </row>
    <row r="39" spans="1:14" x14ac:dyDescent="0.25">
      <c r="A39" s="93" t="s">
        <v>1</v>
      </c>
      <c r="B39" s="85" t="s">
        <v>214</v>
      </c>
      <c r="C39" s="36">
        <v>3.9761341679913867E-2</v>
      </c>
      <c r="D39" s="36">
        <v>9.0997276417428483E-2</v>
      </c>
      <c r="E39" s="36">
        <v>4.970167709989233E-2</v>
      </c>
      <c r="F39" s="36">
        <v>0.11374659552178558</v>
      </c>
      <c r="G39" s="36">
        <v>8.0707300439288143E-2</v>
      </c>
      <c r="H39" s="36">
        <v>0.18470565168801564</v>
      </c>
      <c r="I39" s="36">
        <v>0.12556522035551965</v>
      </c>
      <c r="J39" s="36">
        <v>0.28736688910270414</v>
      </c>
      <c r="K39" s="36">
        <v>0.14350310897773672</v>
      </c>
      <c r="L39" s="36">
        <v>0.32841930183166185</v>
      </c>
      <c r="M39" s="140" t="s">
        <v>213</v>
      </c>
      <c r="N39" s="43"/>
    </row>
    <row r="40" spans="1:14" x14ac:dyDescent="0.25">
      <c r="A40" s="92" t="s">
        <v>25</v>
      </c>
      <c r="B40" s="85" t="s">
        <v>214</v>
      </c>
      <c r="C40" s="36">
        <v>1.6425143721851405E-2</v>
      </c>
      <c r="D40" s="36">
        <v>3.1871348877880464E-2</v>
      </c>
      <c r="E40" s="36">
        <v>2.0531429652314255E-2</v>
      </c>
      <c r="F40" s="36">
        <v>3.9839186097350585E-2</v>
      </c>
      <c r="G40" s="36">
        <v>2.4637715582777105E-2</v>
      </c>
      <c r="H40" s="36">
        <v>4.7807023316820692E-2</v>
      </c>
      <c r="I40" s="36">
        <v>4.3231905657951541E-2</v>
      </c>
      <c r="J40" s="36">
        <v>8.388718973868918E-2</v>
      </c>
      <c r="K40" s="36">
        <v>4.9407892180516048E-2</v>
      </c>
      <c r="L40" s="36">
        <v>9.5871073987073341E-2</v>
      </c>
      <c r="M40" s="140" t="s">
        <v>213</v>
      </c>
      <c r="N40" s="43"/>
    </row>
    <row r="41" spans="1:14" x14ac:dyDescent="0.25">
      <c r="A41" s="92" t="s">
        <v>26</v>
      </c>
      <c r="B41" s="85" t="s">
        <v>214</v>
      </c>
      <c r="C41" s="36">
        <v>1.8499049966165151E-2</v>
      </c>
      <c r="D41" s="36">
        <v>3.5895556554346862E-2</v>
      </c>
      <c r="E41" s="36">
        <v>2.3123812457706443E-2</v>
      </c>
      <c r="F41" s="36">
        <v>4.4869445692933579E-2</v>
      </c>
      <c r="G41" s="36">
        <v>2.7748574949247731E-2</v>
      </c>
      <c r="H41" s="36">
        <v>5.3843334831520297E-2</v>
      </c>
      <c r="I41" s="36">
        <v>6.189334461449373E-2</v>
      </c>
      <c r="J41" s="36">
        <v>0.12009784588996364</v>
      </c>
      <c r="K41" s="36">
        <v>7.073525098799284E-2</v>
      </c>
      <c r="L41" s="36">
        <v>0.13725468101710131</v>
      </c>
      <c r="M41" s="140" t="s">
        <v>213</v>
      </c>
      <c r="N41" s="43"/>
    </row>
    <row r="42" spans="1:14" x14ac:dyDescent="0.25">
      <c r="A42" s="92" t="s">
        <v>204</v>
      </c>
      <c r="B42" s="85" t="s">
        <v>214</v>
      </c>
      <c r="C42" s="36">
        <v>5.7798455470010439E-3</v>
      </c>
      <c r="D42" s="36">
        <v>1.138475443544619E-2</v>
      </c>
      <c r="E42" s="36">
        <v>7.224806933751304E-3</v>
      </c>
      <c r="F42" s="36">
        <v>1.4230943044307736E-2</v>
      </c>
      <c r="G42" s="36">
        <v>8.6697683205015658E-3</v>
      </c>
      <c r="H42" s="36">
        <v>1.7077131653169285E-2</v>
      </c>
      <c r="I42" s="36">
        <v>1.0114729707251826E-2</v>
      </c>
      <c r="J42" s="36">
        <v>1.9923320262030829E-2</v>
      </c>
      <c r="K42" s="36">
        <v>1.1559691094002088E-2</v>
      </c>
      <c r="L42" s="36">
        <v>2.276950887089238E-2</v>
      </c>
      <c r="M42" s="140" t="s">
        <v>213</v>
      </c>
      <c r="N42" s="43"/>
    </row>
    <row r="43" spans="1:14" x14ac:dyDescent="0.25">
      <c r="A43" s="92" t="s">
        <v>205</v>
      </c>
      <c r="B43" s="85" t="s">
        <v>214</v>
      </c>
      <c r="C43" s="36">
        <v>9.5725715263053086E-3</v>
      </c>
      <c r="D43" s="36">
        <v>1.885541322108111E-2</v>
      </c>
      <c r="E43" s="36">
        <v>1.1965714407881635E-2</v>
      </c>
      <c r="F43" s="36">
        <v>2.3569266526351388E-2</v>
      </c>
      <c r="G43" s="36">
        <v>1.4358857289457962E-2</v>
      </c>
      <c r="H43" s="36">
        <v>2.8283119831621666E-2</v>
      </c>
      <c r="I43" s="36">
        <v>1.675200017103429E-2</v>
      </c>
      <c r="J43" s="36">
        <v>3.2996973136891941E-2</v>
      </c>
      <c r="K43" s="36">
        <v>1.9145143052610617E-2</v>
      </c>
      <c r="L43" s="36">
        <v>3.7710826442162219E-2</v>
      </c>
      <c r="M43" s="140" t="s">
        <v>213</v>
      </c>
      <c r="N43" s="43"/>
    </row>
    <row r="44" spans="1:14" x14ac:dyDescent="0.25">
      <c r="A44" s="92" t="s">
        <v>107</v>
      </c>
      <c r="B44" s="85" t="s">
        <v>214</v>
      </c>
      <c r="C44" s="36">
        <v>7.0783056874107976E-3</v>
      </c>
      <c r="D44" s="36">
        <v>1.3942374656015961E-2</v>
      </c>
      <c r="E44" s="36">
        <v>8.8478821092634972E-3</v>
      </c>
      <c r="F44" s="36">
        <v>1.742796832001995E-2</v>
      </c>
      <c r="G44" s="36">
        <v>1.0617458531116196E-2</v>
      </c>
      <c r="H44" s="36">
        <v>2.0913561984023939E-2</v>
      </c>
      <c r="I44" s="36">
        <v>1.2387034952968895E-2</v>
      </c>
      <c r="J44" s="36">
        <v>2.4399155648027929E-2</v>
      </c>
      <c r="K44" s="36">
        <v>1.4156611374821595E-2</v>
      </c>
      <c r="L44" s="36">
        <v>2.7884749312031921E-2</v>
      </c>
      <c r="M44" s="140" t="s">
        <v>213</v>
      </c>
      <c r="N44" s="43"/>
    </row>
    <row r="45" spans="1:14" x14ac:dyDescent="0.25">
      <c r="A45" s="92" t="s">
        <v>206</v>
      </c>
      <c r="B45" s="85" t="s">
        <v>214</v>
      </c>
      <c r="C45" s="36">
        <v>0.34197058899230237</v>
      </c>
      <c r="D45" s="36">
        <v>0.51560045604332738</v>
      </c>
      <c r="E45" s="36">
        <v>0.54059250060134179</v>
      </c>
      <c r="F45" s="36">
        <v>0.81506933290666295</v>
      </c>
      <c r="G45" s="36">
        <v>0.64871100072161014</v>
      </c>
      <c r="H45" s="36">
        <v>0.97808319948799549</v>
      </c>
      <c r="I45" s="36">
        <v>0.86363081643836814</v>
      </c>
      <c r="J45" s="36">
        <v>1.3021249696380088</v>
      </c>
      <c r="K45" s="36">
        <v>1.1176085358157115</v>
      </c>
      <c r="L45" s="36">
        <v>1.6850556430672088</v>
      </c>
      <c r="M45" s="140" t="s">
        <v>213</v>
      </c>
      <c r="N45" s="43"/>
    </row>
    <row r="46" spans="1:14" x14ac:dyDescent="0.25">
      <c r="A46" s="305" t="s">
        <v>206</v>
      </c>
      <c r="B46" s="318" t="s">
        <v>214</v>
      </c>
      <c r="C46" s="37">
        <f>Datos!C38</f>
        <v>2.6003723150912643E-2</v>
      </c>
      <c r="D46" s="37">
        <f>Datos!D38</f>
        <v>4.4909860086399439E-2</v>
      </c>
      <c r="E46" s="37">
        <f>Datos!E38</f>
        <v>3.2504653938640805E-2</v>
      </c>
      <c r="F46" s="37">
        <f>Datos!F38</f>
        <v>5.6137325107999299E-2</v>
      </c>
      <c r="G46" s="37">
        <f>Datos!G38</f>
        <v>3.9005584726368968E-2</v>
      </c>
      <c r="H46" s="37">
        <f>Datos!H38</f>
        <v>6.7364790129599159E-2</v>
      </c>
      <c r="I46" s="37">
        <f>Datos!I38</f>
        <v>4.5506515514097123E-2</v>
      </c>
      <c r="J46" s="37">
        <f>Datos!J38</f>
        <v>7.8592255151199011E-2</v>
      </c>
      <c r="K46" s="37">
        <f>Datos!K38</f>
        <v>5.2007446301825286E-2</v>
      </c>
      <c r="L46" s="37">
        <f>Datos!L38</f>
        <v>8.9819720172798878E-2</v>
      </c>
      <c r="M46" s="140"/>
      <c r="N46" s="43"/>
    </row>
    <row r="47" spans="1:14" x14ac:dyDescent="0.25">
      <c r="A47" s="2" t="s">
        <v>27</v>
      </c>
      <c r="B47" s="87"/>
      <c r="C47" s="36"/>
      <c r="D47" s="36"/>
      <c r="E47" s="36"/>
      <c r="F47" s="36"/>
      <c r="G47" s="36"/>
      <c r="H47" s="36"/>
      <c r="I47" s="36"/>
      <c r="J47" s="36"/>
      <c r="K47" s="36"/>
      <c r="L47" s="36"/>
      <c r="M47" s="141"/>
      <c r="N47" s="43"/>
    </row>
    <row r="48" spans="1:14" x14ac:dyDescent="0.25">
      <c r="A48" s="2" t="s">
        <v>28</v>
      </c>
      <c r="B48" s="90"/>
      <c r="C48" s="36"/>
      <c r="D48" s="36"/>
      <c r="E48" s="36"/>
      <c r="F48" s="36"/>
      <c r="G48" s="36"/>
      <c r="H48" s="36"/>
      <c r="I48" s="36"/>
      <c r="J48" s="36"/>
      <c r="K48" s="36"/>
      <c r="L48" s="36"/>
      <c r="M48" s="141"/>
      <c r="N48" s="43"/>
    </row>
    <row r="49" spans="1:14" x14ac:dyDescent="0.25">
      <c r="A49" s="2" t="s">
        <v>29</v>
      </c>
      <c r="B49" s="87"/>
      <c r="C49" s="36"/>
      <c r="D49" s="36"/>
      <c r="E49" s="36"/>
      <c r="F49" s="36"/>
      <c r="G49" s="36"/>
      <c r="H49" s="36"/>
      <c r="I49" s="36"/>
      <c r="J49" s="36"/>
      <c r="K49" s="36"/>
      <c r="L49" s="36"/>
      <c r="M49" s="141"/>
      <c r="N49" s="43"/>
    </row>
    <row r="50" spans="1:14" x14ac:dyDescent="0.25">
      <c r="A50" s="2" t="s">
        <v>33</v>
      </c>
      <c r="B50" s="87"/>
      <c r="C50" s="36"/>
      <c r="D50" s="36"/>
      <c r="E50" s="36"/>
      <c r="F50" s="36"/>
      <c r="G50" s="36"/>
      <c r="H50" s="36"/>
      <c r="I50" s="36"/>
      <c r="J50" s="36"/>
      <c r="K50" s="36"/>
      <c r="L50" s="36"/>
      <c r="M50" s="141"/>
      <c r="N50" s="43"/>
    </row>
    <row r="51" spans="1:14" x14ac:dyDescent="0.25">
      <c r="A51" s="2" t="s">
        <v>34</v>
      </c>
      <c r="B51" s="87"/>
      <c r="C51" s="36"/>
      <c r="D51" s="36"/>
      <c r="E51" s="36"/>
      <c r="F51" s="36"/>
      <c r="G51" s="36"/>
      <c r="H51" s="36"/>
      <c r="I51" s="36"/>
      <c r="J51" s="36"/>
      <c r="K51" s="36"/>
      <c r="L51" s="36"/>
      <c r="M51" s="141"/>
      <c r="N51" s="43"/>
    </row>
    <row r="52" spans="1:14" x14ac:dyDescent="0.25">
      <c r="A52" s="92" t="s">
        <v>186</v>
      </c>
      <c r="B52" s="85" t="s">
        <v>214</v>
      </c>
      <c r="C52" s="36">
        <v>1.275303928793441E-2</v>
      </c>
      <c r="D52" s="36">
        <v>3.8995053250978962E-2</v>
      </c>
      <c r="E52" s="36">
        <v>1.5941299109918011E-2</v>
      </c>
      <c r="F52" s="36">
        <v>4.8743816563723702E-2</v>
      </c>
      <c r="G52" s="36">
        <v>2.7498353715506931E-2</v>
      </c>
      <c r="H52" s="36">
        <v>8.4081899478263639E-2</v>
      </c>
      <c r="I52" s="36">
        <v>3.2081412668091419E-2</v>
      </c>
      <c r="J52" s="36">
        <v>9.8095549391307588E-2</v>
      </c>
      <c r="K52" s="36">
        <v>3.6664471620675911E-2</v>
      </c>
      <c r="L52" s="36">
        <v>0.11210919930435154</v>
      </c>
      <c r="M52" s="140" t="s">
        <v>213</v>
      </c>
      <c r="N52" s="43"/>
    </row>
    <row r="53" spans="1:14" x14ac:dyDescent="0.25">
      <c r="A53" s="92" t="s">
        <v>39</v>
      </c>
      <c r="B53" s="85" t="s">
        <v>214</v>
      </c>
      <c r="C53" s="36">
        <v>1.3060539347216366E-2</v>
      </c>
      <c r="D53" s="36">
        <v>2.5342670549338638E-2</v>
      </c>
      <c r="E53" s="36">
        <v>1.6325674184020457E-2</v>
      </c>
      <c r="F53" s="36">
        <v>3.1678338186673295E-2</v>
      </c>
      <c r="G53" s="36">
        <v>4.6052327221534919E-2</v>
      </c>
      <c r="H53" s="36">
        <v>8.9359935740666363E-2</v>
      </c>
      <c r="I53" s="36">
        <v>8.8288764449473867E-2</v>
      </c>
      <c r="J53" s="36">
        <v>0.17131551853775909</v>
      </c>
      <c r="K53" s="36">
        <v>0.10090144508511299</v>
      </c>
      <c r="L53" s="36">
        <v>0.19578916404315322</v>
      </c>
      <c r="M53" s="140" t="s">
        <v>213</v>
      </c>
      <c r="N53" s="43"/>
    </row>
    <row r="54" spans="1:14" x14ac:dyDescent="0.25">
      <c r="A54" s="2" t="s">
        <v>40</v>
      </c>
      <c r="B54" s="87"/>
      <c r="C54" s="36"/>
      <c r="D54" s="36"/>
      <c r="E54" s="36"/>
      <c r="F54" s="36"/>
      <c r="G54" s="36"/>
      <c r="H54" s="36"/>
      <c r="I54" s="36"/>
      <c r="J54" s="36"/>
      <c r="K54" s="36"/>
      <c r="L54" s="36"/>
      <c r="M54" s="141"/>
      <c r="N54" s="43"/>
    </row>
    <row r="55" spans="1:14" x14ac:dyDescent="0.25">
      <c r="A55" s="2" t="s">
        <v>41</v>
      </c>
      <c r="B55" s="87"/>
      <c r="C55" s="37"/>
      <c r="D55" s="37"/>
      <c r="E55" s="37"/>
      <c r="F55" s="37"/>
      <c r="G55" s="37"/>
      <c r="H55" s="37"/>
      <c r="I55" s="37"/>
      <c r="J55" s="37"/>
      <c r="K55" s="37"/>
      <c r="L55" s="37"/>
      <c r="M55" s="141"/>
      <c r="N55" s="43"/>
    </row>
    <row r="56" spans="1:14" x14ac:dyDescent="0.25">
      <c r="A56" s="39" t="s">
        <v>42</v>
      </c>
      <c r="B56" s="96" t="s">
        <v>218</v>
      </c>
      <c r="C56" s="37">
        <v>4.8500000000000001E-2</v>
      </c>
      <c r="D56" s="37">
        <v>6.1570345833333325E-2</v>
      </c>
      <c r="E56" s="37">
        <v>6.0624999999999991E-2</v>
      </c>
      <c r="F56" s="37">
        <v>7.6962932291666661E-2</v>
      </c>
      <c r="G56" s="37">
        <v>7.2749999999999995E-2</v>
      </c>
      <c r="H56" s="37">
        <v>9.235551874999999E-2</v>
      </c>
      <c r="I56" s="37">
        <v>8.4875000000000006E-2</v>
      </c>
      <c r="J56" s="37">
        <v>0.10774810520833335</v>
      </c>
      <c r="K56" s="37">
        <v>9.7000000000000003E-2</v>
      </c>
      <c r="L56" s="37">
        <v>0.12314069166666665</v>
      </c>
      <c r="M56" s="139" t="s">
        <v>130</v>
      </c>
      <c r="N56" s="43" t="s">
        <v>148</v>
      </c>
    </row>
    <row r="57" spans="1:14" x14ac:dyDescent="0.25">
      <c r="A57" s="93" t="s">
        <v>42</v>
      </c>
      <c r="B57" s="85" t="s">
        <v>214</v>
      </c>
      <c r="C57" s="36">
        <v>2.0911777452768961E-2</v>
      </c>
      <c r="D57" s="36">
        <v>2.6547327211478084E-2</v>
      </c>
      <c r="E57" s="36">
        <v>5.3836633176261334E-2</v>
      </c>
      <c r="F57" s="36">
        <v>6.8345157178653956E-2</v>
      </c>
      <c r="G57" s="36">
        <v>0.10661669545555842</v>
      </c>
      <c r="H57" s="36">
        <v>0.13534900640836928</v>
      </c>
      <c r="I57" s="36">
        <v>0.12438614469815149</v>
      </c>
      <c r="J57" s="36">
        <v>0.15790717414309749</v>
      </c>
      <c r="K57" s="36">
        <v>0.14215559394074456</v>
      </c>
      <c r="L57" s="36">
        <v>0.1804653418778257</v>
      </c>
      <c r="M57" s="140" t="s">
        <v>213</v>
      </c>
      <c r="N57" s="43"/>
    </row>
    <row r="58" spans="1:14" x14ac:dyDescent="0.25">
      <c r="A58" s="38" t="s">
        <v>43</v>
      </c>
      <c r="B58" s="88" t="s">
        <v>243</v>
      </c>
      <c r="C58" s="36"/>
      <c r="D58" s="36">
        <v>0</v>
      </c>
      <c r="E58" s="36"/>
      <c r="F58" s="36">
        <v>5.7257669413919412E-3</v>
      </c>
      <c r="G58" s="36"/>
      <c r="H58" s="36">
        <v>1.6673433333333335E-2</v>
      </c>
      <c r="I58" s="36"/>
      <c r="J58" s="36">
        <v>3.6539242599000384E-2</v>
      </c>
      <c r="K58" s="36"/>
      <c r="L58" s="36">
        <v>7.085028328611899E-2</v>
      </c>
      <c r="M58" s="317" t="s">
        <v>487</v>
      </c>
      <c r="N58" s="43"/>
    </row>
    <row r="59" spans="1:14" x14ac:dyDescent="0.25">
      <c r="A59" s="39" t="s">
        <v>43</v>
      </c>
      <c r="B59" s="96" t="s">
        <v>218</v>
      </c>
      <c r="C59" s="37">
        <v>3.8799999999999994E-2</v>
      </c>
      <c r="D59" s="37">
        <v>6.4692921333333334E-2</v>
      </c>
      <c r="E59" s="37">
        <v>4.8500000000000001E-2</v>
      </c>
      <c r="F59" s="37">
        <v>8.086615166666665E-2</v>
      </c>
      <c r="G59" s="37">
        <v>5.8199999999999995E-2</v>
      </c>
      <c r="H59" s="37">
        <v>9.7039382000000007E-2</v>
      </c>
      <c r="I59" s="37">
        <v>6.7899999999999988E-2</v>
      </c>
      <c r="J59" s="37">
        <v>0.11321261233333332</v>
      </c>
      <c r="K59" s="37">
        <v>0.12938584266666667</v>
      </c>
      <c r="L59" s="37">
        <v>7.7599999999999988E-2</v>
      </c>
      <c r="M59" s="139" t="s">
        <v>130</v>
      </c>
      <c r="N59" s="43" t="s">
        <v>131</v>
      </c>
    </row>
    <row r="60" spans="1:14" x14ac:dyDescent="0.25">
      <c r="A60" s="93" t="s">
        <v>43</v>
      </c>
      <c r="B60" s="85" t="s">
        <v>214</v>
      </c>
      <c r="C60" s="36">
        <v>1.8469139953884307E-2</v>
      </c>
      <c r="D60" s="36">
        <v>3.079439737450931E-2</v>
      </c>
      <c r="E60" s="36">
        <v>2.3086424942355382E-2</v>
      </c>
      <c r="F60" s="36">
        <v>3.8492996718136628E-2</v>
      </c>
      <c r="G60" s="36">
        <v>4.9293523056054722E-2</v>
      </c>
      <c r="H60" s="36">
        <v>8.21892270440258E-2</v>
      </c>
      <c r="I60" s="36">
        <v>4.4133364500346293E-2</v>
      </c>
      <c r="J60" s="36">
        <v>7.3585471077222395E-2</v>
      </c>
      <c r="K60" s="36">
        <v>9.4288643108610765E-2</v>
      </c>
      <c r="L60" s="36">
        <v>0.15721154049618813</v>
      </c>
      <c r="M60" s="140" t="s">
        <v>213</v>
      </c>
      <c r="N60" s="43"/>
    </row>
    <row r="61" spans="1:14" x14ac:dyDescent="0.25">
      <c r="A61" s="136" t="s">
        <v>43</v>
      </c>
      <c r="B61" s="135"/>
      <c r="C61" s="36"/>
      <c r="D61" s="36">
        <v>2.0321507946666668E-2</v>
      </c>
      <c r="E61" s="36"/>
      <c r="F61" s="36">
        <v>2.666379298E-2</v>
      </c>
      <c r="G61" s="36"/>
      <c r="H61" s="36">
        <v>4.0266540526666651E-2</v>
      </c>
      <c r="I61" s="36"/>
      <c r="J61" s="36">
        <v>6.1635670506666677E-2</v>
      </c>
      <c r="K61" s="36"/>
      <c r="L61" s="36">
        <v>9.3176129566666682E-2</v>
      </c>
      <c r="M61" s="142" t="s">
        <v>85</v>
      </c>
      <c r="N61" s="43"/>
    </row>
    <row r="62" spans="1:14" x14ac:dyDescent="0.25">
      <c r="A62" s="190" t="s">
        <v>44</v>
      </c>
      <c r="B62" s="88" t="s">
        <v>94</v>
      </c>
      <c r="C62" s="37">
        <f>'Alt_diám tablas producc'!E54</f>
        <v>3.4157697129970299E-2</v>
      </c>
      <c r="D62" s="37">
        <f>'Alt_diám tablas producc'!E54</f>
        <v>3.4157697129970299E-2</v>
      </c>
      <c r="E62" s="37">
        <v>6.6000000000000003E-2</v>
      </c>
      <c r="F62" s="37">
        <f>'Alt_diám tablas producc'!F54</f>
        <v>4.2697121412462874E-2</v>
      </c>
      <c r="G62" s="37">
        <v>7.8790697674418611E-2</v>
      </c>
      <c r="H62" s="37">
        <f>'Alt_diám tablas producc'!G54</f>
        <v>5.1236545694955449E-2</v>
      </c>
      <c r="I62" s="37">
        <v>0.106</v>
      </c>
      <c r="J62" s="37">
        <f>'Alt_diám tablas producc'!H54</f>
        <v>0.10884537979242993</v>
      </c>
      <c r="K62" s="37">
        <v>0.18160469667318982</v>
      </c>
      <c r="L62" s="37">
        <f>'Alt_diám tablas producc'!I54</f>
        <v>0.12636076078387784</v>
      </c>
      <c r="M62" s="28" t="s">
        <v>81</v>
      </c>
      <c r="N62" s="43" t="s">
        <v>121</v>
      </c>
    </row>
    <row r="63" spans="1:14" x14ac:dyDescent="0.25">
      <c r="A63" s="39" t="s">
        <v>44</v>
      </c>
      <c r="B63" s="96" t="s">
        <v>218</v>
      </c>
      <c r="C63" s="36">
        <v>4.3999999999999997E-2</v>
      </c>
      <c r="D63" s="36">
        <v>6.4017066666666664E-2</v>
      </c>
      <c r="E63" s="36">
        <v>5.5000000000000007E-2</v>
      </c>
      <c r="F63" s="36">
        <v>8.0021333333333347E-2</v>
      </c>
      <c r="G63" s="36">
        <v>6.6000000000000003E-2</v>
      </c>
      <c r="H63" s="36">
        <v>9.6025599999999989E-2</v>
      </c>
      <c r="I63" s="36">
        <v>7.6999999999999999E-2</v>
      </c>
      <c r="J63" s="36">
        <v>0.11202986666666667</v>
      </c>
      <c r="K63" s="37">
        <v>8.7999999999999995E-2</v>
      </c>
      <c r="L63" s="36">
        <v>0.12803413333333333</v>
      </c>
      <c r="M63" s="139" t="s">
        <v>130</v>
      </c>
      <c r="N63" s="43" t="s">
        <v>131</v>
      </c>
    </row>
    <row r="64" spans="1:14" x14ac:dyDescent="0.25">
      <c r="A64" s="93" t="s">
        <v>44</v>
      </c>
      <c r="B64" s="85" t="s">
        <v>214</v>
      </c>
      <c r="C64" s="36">
        <v>1.7920503247184628E-2</v>
      </c>
      <c r="D64" s="36">
        <v>2.6073137524437157E-2</v>
      </c>
      <c r="E64" s="36">
        <v>2.2400629058980801E-2</v>
      </c>
      <c r="F64" s="36">
        <v>3.2591421905546439E-2</v>
      </c>
      <c r="G64" s="36">
        <v>5.4433981189938044E-2</v>
      </c>
      <c r="H64" s="36">
        <v>7.9197813699280514E-2</v>
      </c>
      <c r="I64" s="36">
        <v>6.3506311388261058E-2</v>
      </c>
      <c r="J64" s="36">
        <v>9.2397449315827287E-2</v>
      </c>
      <c r="K64" s="36">
        <v>7.2578641586584058E-2</v>
      </c>
      <c r="L64" s="36">
        <v>0.10559708493237403</v>
      </c>
      <c r="M64" s="140" t="s">
        <v>213</v>
      </c>
      <c r="N64" s="43"/>
    </row>
    <row r="65" spans="1:14" x14ac:dyDescent="0.25">
      <c r="A65" s="136" t="s">
        <v>44</v>
      </c>
      <c r="B65" s="135"/>
      <c r="C65" s="36"/>
      <c r="D65" s="36">
        <v>0.18382044761299327</v>
      </c>
      <c r="E65" s="36"/>
      <c r="F65" s="36">
        <v>0.34826063882451141</v>
      </c>
      <c r="G65" s="36"/>
      <c r="H65" s="36">
        <v>0.57646899987068079</v>
      </c>
      <c r="I65" s="36"/>
      <c r="J65" s="36">
        <v>0.87455170971595497</v>
      </c>
      <c r="K65" s="36"/>
      <c r="L65" s="36">
        <v>1.2168313571830238</v>
      </c>
      <c r="M65" s="142" t="s">
        <v>85</v>
      </c>
      <c r="N65" s="43"/>
    </row>
    <row r="66" spans="1:14" x14ac:dyDescent="0.25">
      <c r="A66" s="506" t="s">
        <v>150</v>
      </c>
      <c r="B66" s="88" t="s">
        <v>153</v>
      </c>
      <c r="C66" s="37">
        <v>0.23955555555555555</v>
      </c>
      <c r="D66" s="37">
        <f>'Alt_diám tablas producc'!E55</f>
        <v>0.2327115308614556</v>
      </c>
      <c r="E66" s="37">
        <v>0.42199999999999999</v>
      </c>
      <c r="F66" s="37">
        <f>'Alt_diám tablas producc'!F55</f>
        <v>0.40856203182870365</v>
      </c>
      <c r="G66" s="37">
        <v>0.78600000000000003</v>
      </c>
      <c r="H66" s="37">
        <f>'Alt_diám tablas producc'!G55</f>
        <v>0.58249493630952376</v>
      </c>
      <c r="I66" s="37">
        <v>0.86799999999999999</v>
      </c>
      <c r="J66" s="37">
        <f>'Alt_diám tablas producc'!H55</f>
        <v>0.74304199720492636</v>
      </c>
      <c r="K66" s="37">
        <v>1.3740000000000001</v>
      </c>
      <c r="L66" s="37">
        <f>'Alt_diám tablas producc'!I55</f>
        <v>0.91206257563956428</v>
      </c>
      <c r="M66" s="28" t="s">
        <v>81</v>
      </c>
      <c r="N66" s="43" t="s">
        <v>125</v>
      </c>
    </row>
    <row r="67" spans="1:14" x14ac:dyDescent="0.25">
      <c r="A67" s="507"/>
      <c r="B67" s="88" t="s">
        <v>154</v>
      </c>
      <c r="C67" s="37">
        <v>0.35216666666666668</v>
      </c>
      <c r="D67" s="37">
        <f>'Alt_diám tablas producc'!E56</f>
        <v>0.32827964901620366</v>
      </c>
      <c r="E67" s="37">
        <v>1.4219999999999999</v>
      </c>
      <c r="F67" s="37">
        <f>'Alt_diám tablas producc'!F56</f>
        <v>0.53815745067959075</v>
      </c>
      <c r="G67" s="37">
        <v>1.786</v>
      </c>
      <c r="H67" s="37">
        <f>'Alt_diám tablas producc'!G56</f>
        <v>0.69121584652967782</v>
      </c>
      <c r="I67" s="37">
        <v>1.8680000000000001</v>
      </c>
      <c r="J67" s="37">
        <f>'Alt_diám tablas producc'!H56</f>
        <v>0.80641848761795754</v>
      </c>
      <c r="K67" s="37">
        <v>2.3740000000000001</v>
      </c>
      <c r="L67" s="37">
        <f>'Alt_diám tablas producc'!I56</f>
        <v>0.92162112870623725</v>
      </c>
      <c r="M67" s="28" t="s">
        <v>81</v>
      </c>
      <c r="N67" s="43" t="s">
        <v>126</v>
      </c>
    </row>
    <row r="68" spans="1:14" s="4" customFormat="1" x14ac:dyDescent="0.25">
      <c r="A68" s="40" t="s">
        <v>45</v>
      </c>
      <c r="B68" s="96" t="s">
        <v>218</v>
      </c>
      <c r="C68" s="36">
        <v>0.109</v>
      </c>
      <c r="D68" s="36">
        <v>0.14123220833333333</v>
      </c>
      <c r="E68" s="36">
        <v>0.221</v>
      </c>
      <c r="F68" s="36">
        <v>0.28635154166666665</v>
      </c>
      <c r="G68" s="36">
        <v>0.379</v>
      </c>
      <c r="H68" s="36">
        <v>0.49107345833333343</v>
      </c>
      <c r="I68" s="36">
        <v>0.56899999999999995</v>
      </c>
      <c r="J68" s="36">
        <v>0.73725804166666664</v>
      </c>
      <c r="K68" s="37">
        <v>0.79900000000000004</v>
      </c>
      <c r="L68" s="36">
        <v>1.0352709583333333</v>
      </c>
      <c r="M68" s="139" t="s">
        <v>130</v>
      </c>
      <c r="N68" s="43"/>
    </row>
    <row r="69" spans="1:14" x14ac:dyDescent="0.25">
      <c r="A69" s="38" t="s">
        <v>310</v>
      </c>
      <c r="B69" s="88" t="s">
        <v>155</v>
      </c>
      <c r="C69" s="143">
        <v>4.0599999999999997E-2</v>
      </c>
      <c r="D69" s="143">
        <f>'Alt_diám tablas producc'!E57</f>
        <v>0.11982849020241199</v>
      </c>
      <c r="E69" s="37">
        <v>0.124475</v>
      </c>
      <c r="F69" s="37">
        <f>'Alt_diám tablas producc'!F57</f>
        <v>0.14978561275301497</v>
      </c>
      <c r="G69" s="37">
        <v>0.1981859410430839</v>
      </c>
      <c r="H69" s="37">
        <f>'Alt_diám tablas producc'!G57</f>
        <v>0.17974273530361798</v>
      </c>
      <c r="I69" s="37">
        <v>0.340225</v>
      </c>
      <c r="J69" s="37">
        <f>'Alt_diám tablas producc'!H57</f>
        <v>0.26196202857543643</v>
      </c>
      <c r="K69" s="37">
        <v>0.39999999999999997</v>
      </c>
      <c r="L69" s="37">
        <f>'Alt_diám tablas producc'!I57</f>
        <v>0.35801687535521448</v>
      </c>
      <c r="M69" s="28" t="s">
        <v>81</v>
      </c>
      <c r="N69" s="43" t="s">
        <v>127</v>
      </c>
    </row>
    <row r="70" spans="1:14" s="4" customFormat="1" x14ac:dyDescent="0.25">
      <c r="A70" s="39" t="s">
        <v>149</v>
      </c>
      <c r="B70" s="89"/>
      <c r="C70" s="36">
        <v>6.0666666666666667E-2</v>
      </c>
      <c r="D70" s="36">
        <v>7.8606305555555561E-2</v>
      </c>
      <c r="E70" s="36">
        <v>7.5833333333333322E-2</v>
      </c>
      <c r="F70" s="36">
        <v>9.8257881944444431E-2</v>
      </c>
      <c r="G70" s="36">
        <v>9.0999999999999998E-2</v>
      </c>
      <c r="H70" s="36">
        <v>0.11790945833333333</v>
      </c>
      <c r="I70" s="36">
        <v>0.15225</v>
      </c>
      <c r="J70" s="36">
        <v>0.19727159375</v>
      </c>
      <c r="K70" s="37">
        <v>0.17399999999999999</v>
      </c>
      <c r="L70" s="36">
        <v>0.22545325000000002</v>
      </c>
      <c r="M70" s="139" t="s">
        <v>130</v>
      </c>
      <c r="N70" s="43" t="s">
        <v>127</v>
      </c>
    </row>
    <row r="71" spans="1:14" x14ac:dyDescent="0.25">
      <c r="A71" s="93" t="s">
        <v>215</v>
      </c>
      <c r="B71" s="85" t="s">
        <v>214</v>
      </c>
      <c r="C71" s="36">
        <v>1.7414482645901213E-2</v>
      </c>
      <c r="D71" s="36">
        <v>2.2564090284982921E-2</v>
      </c>
      <c r="E71" s="36">
        <v>2.1768103307376517E-2</v>
      </c>
      <c r="F71" s="36">
        <v>2.8205112856228648E-2</v>
      </c>
      <c r="G71" s="36">
        <v>2.6121723968851821E-2</v>
      </c>
      <c r="H71" s="36">
        <v>3.3846135427474382E-2</v>
      </c>
      <c r="I71" s="36">
        <v>6.1389279326479446E-2</v>
      </c>
      <c r="J71" s="36">
        <v>7.9542600800647137E-2</v>
      </c>
      <c r="K71" s="36">
        <v>7.0159176373119372E-2</v>
      </c>
      <c r="L71" s="36">
        <v>9.0905829486453871E-2</v>
      </c>
      <c r="M71" s="140" t="s">
        <v>213</v>
      </c>
      <c r="N71" s="43"/>
    </row>
    <row r="72" spans="1:14" x14ac:dyDescent="0.25">
      <c r="A72" s="136" t="s">
        <v>215</v>
      </c>
      <c r="B72" s="135"/>
      <c r="C72" s="36"/>
      <c r="D72" s="36">
        <v>7.332910309194092E-2</v>
      </c>
      <c r="E72" s="36"/>
      <c r="F72" s="36">
        <v>0.13408913811397005</v>
      </c>
      <c r="G72" s="36"/>
      <c r="H72" s="36">
        <v>0.2198004832699853</v>
      </c>
      <c r="I72" s="36"/>
      <c r="J72" s="36">
        <v>0.334057288896078</v>
      </c>
      <c r="K72" s="36"/>
      <c r="L72" s="36">
        <v>0.42209200204030534</v>
      </c>
      <c r="M72" s="142" t="s">
        <v>85</v>
      </c>
      <c r="N72" s="43"/>
    </row>
    <row r="73" spans="1:14" x14ac:dyDescent="0.25">
      <c r="A73" s="92" t="s">
        <v>216</v>
      </c>
      <c r="B73" s="85" t="s">
        <v>214</v>
      </c>
      <c r="C73" s="36">
        <v>0.10742808270298149</v>
      </c>
      <c r="D73" s="36">
        <v>0.13919546199227564</v>
      </c>
      <c r="E73" s="36">
        <v>0.13428510337872684</v>
      </c>
      <c r="F73" s="36">
        <v>0.17399432749034452</v>
      </c>
      <c r="G73" s="36">
        <v>0.16114212405447223</v>
      </c>
      <c r="H73" s="36">
        <v>0.20879319298841345</v>
      </c>
      <c r="I73" s="36">
        <v>0.18799914473021759</v>
      </c>
      <c r="J73" s="36">
        <v>0.24359205848648233</v>
      </c>
      <c r="K73" s="36">
        <v>0.21485616540596297</v>
      </c>
      <c r="L73" s="36">
        <v>0.27839092398455129</v>
      </c>
      <c r="M73" s="140" t="s">
        <v>213</v>
      </c>
      <c r="N73" s="43"/>
    </row>
    <row r="74" spans="1:14" x14ac:dyDescent="0.25">
      <c r="A74" s="39" t="s">
        <v>46</v>
      </c>
      <c r="B74" s="96" t="s">
        <v>218</v>
      </c>
      <c r="C74" s="36">
        <v>6.8000000000000005E-2</v>
      </c>
      <c r="D74" s="36">
        <v>0.11312128666666665</v>
      </c>
      <c r="E74" s="36">
        <v>8.5000000000000006E-2</v>
      </c>
      <c r="F74" s="36">
        <v>0.14140160833333335</v>
      </c>
      <c r="G74" s="36">
        <v>0.10199999999999999</v>
      </c>
      <c r="H74" s="36">
        <v>0.16968192999999995</v>
      </c>
      <c r="I74" s="36">
        <v>0.11899999999999999</v>
      </c>
      <c r="J74" s="36">
        <v>0.19796225166666664</v>
      </c>
      <c r="K74" s="37">
        <v>0.13600000000000001</v>
      </c>
      <c r="L74" s="36">
        <v>0.22624257333333331</v>
      </c>
      <c r="M74" s="139" t="s">
        <v>130</v>
      </c>
      <c r="N74" s="43" t="s">
        <v>152</v>
      </c>
    </row>
    <row r="75" spans="1:14" x14ac:dyDescent="0.25">
      <c r="A75" s="93" t="s">
        <v>46</v>
      </c>
      <c r="B75" s="85" t="s">
        <v>214</v>
      </c>
      <c r="C75" s="36">
        <v>3.3503830928553087E-2</v>
      </c>
      <c r="D75" s="36">
        <v>5.5735242101476262E-2</v>
      </c>
      <c r="E75" s="36">
        <v>5.8341290419510826E-2</v>
      </c>
      <c r="F75" s="36">
        <v>9.7053556441893188E-2</v>
      </c>
      <c r="G75" s="36">
        <v>0.10075270942259493</v>
      </c>
      <c r="H75" s="36">
        <v>0.16760700183877539</v>
      </c>
      <c r="I75" s="36">
        <v>0.11754482765969408</v>
      </c>
      <c r="J75" s="36">
        <v>0.19554150214523794</v>
      </c>
      <c r="K75" s="36">
        <v>0.17605825136816797</v>
      </c>
      <c r="L75" s="36">
        <v>0.29288141063309686</v>
      </c>
      <c r="M75" s="140" t="s">
        <v>213</v>
      </c>
      <c r="N75" s="43"/>
    </row>
    <row r="76" spans="1:14" x14ac:dyDescent="0.25">
      <c r="A76" s="38" t="s">
        <v>47</v>
      </c>
      <c r="B76" s="88" t="s">
        <v>95</v>
      </c>
      <c r="C76" s="37">
        <v>0.67583025830258303</v>
      </c>
      <c r="D76" s="37">
        <f>'Alt_diám tablas producc'!E58</f>
        <v>0.4564333244723322</v>
      </c>
      <c r="E76" s="37">
        <v>1.099248120300752</v>
      </c>
      <c r="F76" s="37">
        <f>'Alt_diám tablas producc'!F58</f>
        <v>0.78694276633853766</v>
      </c>
      <c r="G76" s="37">
        <v>1.552547770700637</v>
      </c>
      <c r="H76" s="37">
        <f>'Alt_diám tablas producc'!G58</f>
        <v>1.1651157738742044</v>
      </c>
      <c r="I76" s="37">
        <v>2.0538759689922479</v>
      </c>
      <c r="J76" s="37">
        <f>'Alt_diám tablas producc'!H58</f>
        <v>1.5580231120134596</v>
      </c>
      <c r="K76" s="37">
        <v>2.5878999999999999</v>
      </c>
      <c r="L76" s="37">
        <f>'Alt_diám tablas producc'!I58</f>
        <v>1.7805978423010973</v>
      </c>
      <c r="M76" s="28" t="s">
        <v>81</v>
      </c>
      <c r="N76" s="43" t="s">
        <v>123</v>
      </c>
    </row>
    <row r="77" spans="1:14" x14ac:dyDescent="0.25">
      <c r="A77" s="39" t="s">
        <v>47</v>
      </c>
      <c r="B77" s="96" t="s">
        <v>218</v>
      </c>
      <c r="C77" s="36">
        <v>0.25600000000000001</v>
      </c>
      <c r="D77" s="36">
        <v>0.26536106666666665</v>
      </c>
      <c r="E77" s="36">
        <v>0.53400000000000003</v>
      </c>
      <c r="F77" s="36">
        <v>0.55352659999999998</v>
      </c>
      <c r="G77" s="36">
        <v>0.92300000000000004</v>
      </c>
      <c r="H77" s="36">
        <v>0.95675103333333333</v>
      </c>
      <c r="I77" s="36">
        <v>1.4350000000000001</v>
      </c>
      <c r="J77" s="36">
        <v>1.4874731666666665</v>
      </c>
      <c r="K77" s="37">
        <v>2.0790000000000002</v>
      </c>
      <c r="L77" s="36">
        <v>2.1550221000000001</v>
      </c>
      <c r="M77" s="139" t="s">
        <v>130</v>
      </c>
      <c r="N77" s="43"/>
    </row>
    <row r="78" spans="1:14" x14ac:dyDescent="0.25">
      <c r="A78" s="93" t="s">
        <v>47</v>
      </c>
      <c r="B78" s="85" t="s">
        <v>214</v>
      </c>
      <c r="C78" s="36">
        <v>0.31777502341536062</v>
      </c>
      <c r="D78" s="36">
        <v>0.32939499677158235</v>
      </c>
      <c r="E78" s="36">
        <v>0.55930534071995763</v>
      </c>
      <c r="F78" s="36">
        <v>0.57975727267895072</v>
      </c>
      <c r="G78" s="36">
        <v>1.1056419210053683</v>
      </c>
      <c r="H78" s="36">
        <v>1.1460715605834644</v>
      </c>
      <c r="I78" s="36">
        <v>1.7462315731181992</v>
      </c>
      <c r="J78" s="36">
        <v>1.8100854409752209</v>
      </c>
      <c r="K78" s="36">
        <v>2.6150138968397703</v>
      </c>
      <c r="L78" s="36">
        <v>2.7106362383342106</v>
      </c>
      <c r="M78" s="140" t="s">
        <v>213</v>
      </c>
      <c r="N78" s="43"/>
    </row>
    <row r="79" spans="1:14" x14ac:dyDescent="0.25">
      <c r="A79" s="136" t="s">
        <v>47</v>
      </c>
      <c r="B79" s="135"/>
      <c r="C79" s="36"/>
      <c r="D79" s="36">
        <v>0.6347880113549772</v>
      </c>
      <c r="E79" s="36"/>
      <c r="F79" s="36">
        <v>1.0173346238390923</v>
      </c>
      <c r="G79" s="36"/>
      <c r="H79" s="36">
        <v>1.4175702293543506</v>
      </c>
      <c r="I79" s="36"/>
      <c r="J79" s="36">
        <v>1.8563619864045695</v>
      </c>
      <c r="K79" s="36"/>
      <c r="L79" s="36">
        <v>2.7347329518756447</v>
      </c>
      <c r="M79" s="142" t="s">
        <v>85</v>
      </c>
      <c r="N79" s="43"/>
    </row>
    <row r="80" spans="1:14" x14ac:dyDescent="0.25">
      <c r="A80" s="506" t="s">
        <v>48</v>
      </c>
      <c r="B80" s="88" t="s">
        <v>307</v>
      </c>
      <c r="C80" s="37">
        <v>4.7578749412317822E-2</v>
      </c>
      <c r="D80" s="37">
        <f>'Alt_diám tablas producc'!E59</f>
        <v>2.0214699176883854E-2</v>
      </c>
      <c r="E80" s="37">
        <v>5.9473436765397278E-2</v>
      </c>
      <c r="F80" s="37">
        <f>'Alt_diám tablas producc'!F59</f>
        <v>5.0853708186201808E-2</v>
      </c>
      <c r="G80" s="37">
        <v>7.1368124118476733E-2</v>
      </c>
      <c r="H80" s="37">
        <f>'Alt_diám tablas producc'!G59</f>
        <v>6.102444982344217E-2</v>
      </c>
      <c r="I80" s="37">
        <v>8.3262811471556189E-2</v>
      </c>
      <c r="J80" s="37">
        <f>'Alt_diám tablas producc'!H59</f>
        <v>0.14704079816421481</v>
      </c>
      <c r="K80" s="37">
        <v>0.17998417721518986</v>
      </c>
      <c r="L80" s="37">
        <f>'Alt_diám tablas producc'!I59</f>
        <v>0.16804662647338833</v>
      </c>
      <c r="M80" s="28" t="s">
        <v>81</v>
      </c>
      <c r="N80" s="43" t="s">
        <v>128</v>
      </c>
    </row>
    <row r="81" spans="1:14" x14ac:dyDescent="0.25">
      <c r="A81" s="508"/>
      <c r="B81" s="88" t="s">
        <v>94</v>
      </c>
      <c r="C81" s="37">
        <v>2.9976019184652279E-2</v>
      </c>
      <c r="D81" s="37">
        <f>'Alt_diám tablas producc'!E60</f>
        <v>3.1639288306640985E-2</v>
      </c>
      <c r="E81" s="37">
        <v>1.0594734367654</v>
      </c>
      <c r="F81" s="37">
        <f>'Alt_diám tablas producc'!F60</f>
        <v>3.9549110383301236E-2</v>
      </c>
      <c r="G81" s="37">
        <v>1.07136812411848</v>
      </c>
      <c r="H81" s="37">
        <f>'Alt_diám tablas producc'!G60</f>
        <v>4.7458932459961474E-2</v>
      </c>
      <c r="I81" s="37">
        <v>1.0832628114715599</v>
      </c>
      <c r="J81" s="37">
        <f>'Alt_diám tablas producc'!H60</f>
        <v>9.1964080011148003E-2</v>
      </c>
      <c r="K81" s="37">
        <v>1.17998417721519</v>
      </c>
      <c r="L81" s="37">
        <f>'Alt_diám tablas producc'!I60</f>
        <v>0.10795822541769297</v>
      </c>
      <c r="M81" s="28" t="s">
        <v>81</v>
      </c>
      <c r="N81" s="43" t="s">
        <v>122</v>
      </c>
    </row>
    <row r="82" spans="1:14" x14ac:dyDescent="0.25">
      <c r="A82" s="507"/>
      <c r="B82" s="88" t="s">
        <v>96</v>
      </c>
      <c r="C82" s="37"/>
      <c r="D82" s="37">
        <f>'Alt_diám tablas producc'!E61</f>
        <v>4.3635426256541009E-2</v>
      </c>
      <c r="E82" s="37">
        <v>2.0594734367654</v>
      </c>
      <c r="F82" s="37">
        <f>'Alt_diám tablas producc'!F61</f>
        <v>5.4544282820676256E-2</v>
      </c>
      <c r="G82" s="37">
        <v>2.07136812411848</v>
      </c>
      <c r="H82" s="37">
        <f>'Alt_diám tablas producc'!G61</f>
        <v>6.545313938481151E-2</v>
      </c>
      <c r="I82" s="37">
        <v>2.0832628114715601</v>
      </c>
      <c r="J82" s="37">
        <f>'Alt_diám tablas producc'!H61</f>
        <v>0.10950251840392226</v>
      </c>
      <c r="K82" s="37">
        <v>2.1799841772151902</v>
      </c>
      <c r="L82" s="37">
        <f>'Alt_diám tablas producc'!I61</f>
        <v>0.16625264941496601</v>
      </c>
      <c r="M82" s="28" t="s">
        <v>81</v>
      </c>
      <c r="N82" s="43"/>
    </row>
    <row r="83" spans="1:14" x14ac:dyDescent="0.25">
      <c r="A83" s="39" t="s">
        <v>48</v>
      </c>
      <c r="B83" s="96" t="s">
        <v>218</v>
      </c>
      <c r="C83" s="36">
        <v>6.2E-2</v>
      </c>
      <c r="D83" s="36">
        <v>9.0135393333333313E-2</v>
      </c>
      <c r="E83" s="36">
        <v>7.7499999999999999E-2</v>
      </c>
      <c r="F83" s="36">
        <v>0.11266924166666666</v>
      </c>
      <c r="G83" s="36">
        <v>9.2999999999999999E-2</v>
      </c>
      <c r="H83" s="36">
        <v>0.13520308999999997</v>
      </c>
      <c r="I83" s="36">
        <v>0.1085</v>
      </c>
      <c r="J83" s="36">
        <v>0.15773693833333333</v>
      </c>
      <c r="K83" s="37">
        <v>0.124</v>
      </c>
      <c r="L83" s="36">
        <v>0.18027078666666663</v>
      </c>
      <c r="M83" s="139" t="s">
        <v>130</v>
      </c>
      <c r="N83" s="43" t="s">
        <v>152</v>
      </c>
    </row>
    <row r="84" spans="1:14" x14ac:dyDescent="0.25">
      <c r="A84" s="93" t="s">
        <v>48</v>
      </c>
      <c r="B84" s="85" t="s">
        <v>214</v>
      </c>
      <c r="C84" s="36">
        <v>2.5368496278808071E-2</v>
      </c>
      <c r="D84" s="36">
        <v>3.6880635328476907E-2</v>
      </c>
      <c r="E84" s="36">
        <v>6.40322140670921E-2</v>
      </c>
      <c r="F84" s="36">
        <v>9.3089819370024932E-2</v>
      </c>
      <c r="G84" s="36">
        <v>7.6838656880510517E-2</v>
      </c>
      <c r="H84" s="36">
        <v>0.11170778324402991</v>
      </c>
      <c r="I84" s="36">
        <v>0.13420830181283941</v>
      </c>
      <c r="J84" s="36">
        <v>0.19511158181449983</v>
      </c>
      <c r="K84" s="36">
        <v>0.15338091635753076</v>
      </c>
      <c r="L84" s="36">
        <v>0.222984664930857</v>
      </c>
      <c r="M84" s="140" t="s">
        <v>213</v>
      </c>
      <c r="N84" s="43"/>
    </row>
    <row r="85" spans="1:14" x14ac:dyDescent="0.25">
      <c r="A85" s="136" t="s">
        <v>48</v>
      </c>
      <c r="B85" s="135" t="s">
        <v>244</v>
      </c>
      <c r="C85" s="36"/>
      <c r="D85" s="36">
        <v>6.818251395571974E-2</v>
      </c>
      <c r="E85" s="36"/>
      <c r="F85" s="36">
        <v>0.11328301245370812</v>
      </c>
      <c r="G85" s="36"/>
      <c r="H85" s="36">
        <v>0.25256765800093695</v>
      </c>
      <c r="I85" s="36"/>
      <c r="J85" s="36">
        <v>0.42436886474774788</v>
      </c>
      <c r="K85" s="36"/>
      <c r="L85" s="36">
        <v>0.62140325587320611</v>
      </c>
      <c r="M85" s="142" t="s">
        <v>85</v>
      </c>
      <c r="N85" s="43"/>
    </row>
    <row r="86" spans="1:14" x14ac:dyDescent="0.25">
      <c r="A86" s="39" t="s">
        <v>49</v>
      </c>
      <c r="B86" s="96" t="s">
        <v>218</v>
      </c>
      <c r="C86" s="36">
        <v>3.2000000000000001E-2</v>
      </c>
      <c r="D86" s="36">
        <v>4.9564533333333334E-2</v>
      </c>
      <c r="E86" s="36">
        <v>0.04</v>
      </c>
      <c r="F86" s="36">
        <v>6.1955666666666666E-2</v>
      </c>
      <c r="G86" s="36">
        <v>4.8000000000000001E-2</v>
      </c>
      <c r="H86" s="36">
        <v>7.4346800000000005E-2</v>
      </c>
      <c r="I86" s="36">
        <v>5.6000000000000001E-2</v>
      </c>
      <c r="J86" s="36">
        <v>8.6737933333333336E-2</v>
      </c>
      <c r="K86" s="37">
        <v>6.4000000000000001E-2</v>
      </c>
      <c r="L86" s="36">
        <v>9.9129066666666668E-2</v>
      </c>
      <c r="M86" s="139" t="s">
        <v>130</v>
      </c>
      <c r="N86" s="43" t="s">
        <v>131</v>
      </c>
    </row>
    <row r="87" spans="1:14" x14ac:dyDescent="0.25">
      <c r="A87" s="93" t="s">
        <v>49</v>
      </c>
      <c r="B87" s="85" t="s">
        <v>214</v>
      </c>
      <c r="C87" s="36">
        <v>2.3631844082256638E-2</v>
      </c>
      <c r="D87" s="36">
        <v>3.6603166366973285E-2</v>
      </c>
      <c r="E87" s="36">
        <v>2.9539805102820796E-2</v>
      </c>
      <c r="F87" s="36">
        <v>4.5753957958716604E-2</v>
      </c>
      <c r="G87" s="36">
        <v>5.8196712673332089E-2</v>
      </c>
      <c r="H87" s="36">
        <v>9.0140403287118462E-2</v>
      </c>
      <c r="I87" s="36">
        <v>6.7896164785554103E-2</v>
      </c>
      <c r="J87" s="36">
        <v>0.10516380383497152</v>
      </c>
      <c r="K87" s="36">
        <v>7.759561689777611E-2</v>
      </c>
      <c r="L87" s="36">
        <v>0.12018720438282458</v>
      </c>
      <c r="M87" s="140" t="s">
        <v>213</v>
      </c>
      <c r="N87" s="43"/>
    </row>
    <row r="88" spans="1:14" x14ac:dyDescent="0.25">
      <c r="A88" s="2" t="s">
        <v>50</v>
      </c>
      <c r="B88" s="87"/>
      <c r="C88" s="37"/>
      <c r="D88" s="36"/>
      <c r="E88" s="36"/>
      <c r="F88" s="36"/>
      <c r="G88" s="36"/>
      <c r="H88" s="36"/>
      <c r="I88" s="37"/>
      <c r="J88" s="37"/>
      <c r="K88" s="37"/>
      <c r="L88" s="37"/>
      <c r="M88" s="141"/>
      <c r="N88" s="43"/>
    </row>
    <row r="89" spans="1:14" x14ac:dyDescent="0.25">
      <c r="A89" s="2" t="s">
        <v>51</v>
      </c>
      <c r="B89" s="87"/>
      <c r="C89" s="37"/>
      <c r="D89" s="36"/>
      <c r="E89" s="36"/>
      <c r="F89" s="36"/>
      <c r="G89" s="36"/>
      <c r="H89" s="36"/>
      <c r="I89" s="37"/>
      <c r="J89" s="37"/>
      <c r="K89" s="37"/>
      <c r="L89" s="37"/>
      <c r="M89" s="141"/>
      <c r="N89" s="43"/>
    </row>
    <row r="90" spans="1:14" x14ac:dyDescent="0.25">
      <c r="A90" s="92" t="s">
        <v>110</v>
      </c>
      <c r="B90" s="85" t="s">
        <v>214</v>
      </c>
      <c r="C90" s="36">
        <v>0.13331567677235068</v>
      </c>
      <c r="D90" s="36">
        <v>0.20654286732427818</v>
      </c>
      <c r="E90" s="36">
        <v>0.29653007932906505</v>
      </c>
      <c r="F90" s="36">
        <v>0.45940713286933604</v>
      </c>
      <c r="G90" s="36">
        <v>0.43352669931402832</v>
      </c>
      <c r="H90" s="36">
        <v>0.67165279962424007</v>
      </c>
      <c r="I90" s="36">
        <v>0.59561593058269391</v>
      </c>
      <c r="J90" s="36">
        <v>0.92277386354672075</v>
      </c>
      <c r="K90" s="36">
        <v>0.81528022188747196</v>
      </c>
      <c r="L90" s="36">
        <v>1.2630946245650829</v>
      </c>
      <c r="M90" s="140" t="s">
        <v>213</v>
      </c>
      <c r="N90" s="43"/>
    </row>
    <row r="91" spans="1:14" x14ac:dyDescent="0.25">
      <c r="A91" s="39" t="s">
        <v>52</v>
      </c>
      <c r="B91" s="96" t="s">
        <v>218</v>
      </c>
      <c r="C91" s="36">
        <v>0.218</v>
      </c>
      <c r="D91" s="36">
        <v>0.33774231333333332</v>
      </c>
      <c r="E91" s="36">
        <v>0.38100000000000001</v>
      </c>
      <c r="F91" s="36">
        <v>0.59027441000000003</v>
      </c>
      <c r="G91" s="36">
        <v>0.57399999999999995</v>
      </c>
      <c r="H91" s="36">
        <v>0.88928480666666643</v>
      </c>
      <c r="I91" s="36">
        <v>0.79300000000000004</v>
      </c>
      <c r="J91" s="36">
        <v>1.228576396666667</v>
      </c>
      <c r="K91" s="37">
        <v>1.036</v>
      </c>
      <c r="L91" s="36">
        <v>1.6050506266666669</v>
      </c>
      <c r="M91" s="139" t="s">
        <v>130</v>
      </c>
      <c r="N91" s="43"/>
    </row>
    <row r="92" spans="1:14" x14ac:dyDescent="0.25">
      <c r="A92" s="93" t="s">
        <v>52</v>
      </c>
      <c r="B92" s="85" t="s">
        <v>214</v>
      </c>
      <c r="C92" s="36">
        <v>0.18430681403256532</v>
      </c>
      <c r="D92" s="36">
        <v>0.28554224648832599</v>
      </c>
      <c r="E92" s="36">
        <v>0.46475194136522141</v>
      </c>
      <c r="F92" s="36">
        <v>0.72002933854517226</v>
      </c>
      <c r="G92" s="36">
        <v>0.64962248187758487</v>
      </c>
      <c r="H92" s="36">
        <v>1.0064449533150317</v>
      </c>
      <c r="I92" s="36">
        <v>0.93269311968610946</v>
      </c>
      <c r="J92" s="36">
        <v>1.44499968749023</v>
      </c>
      <c r="K92" s="36">
        <v>1.2235395364888055</v>
      </c>
      <c r="L92" s="36">
        <v>1.8956012546262551</v>
      </c>
      <c r="M92" s="140" t="s">
        <v>213</v>
      </c>
      <c r="N92" s="43"/>
    </row>
    <row r="93" spans="1:14" x14ac:dyDescent="0.25">
      <c r="A93" s="92" t="s">
        <v>209</v>
      </c>
      <c r="B93" s="85" t="s">
        <v>214</v>
      </c>
      <c r="C93" s="36">
        <v>0.21841359949394204</v>
      </c>
      <c r="D93" s="36">
        <v>0.33838309337864286</v>
      </c>
      <c r="E93" s="36">
        <v>0.51973169525491636</v>
      </c>
      <c r="F93" s="36">
        <v>0.80520818838555264</v>
      </c>
      <c r="G93" s="36">
        <v>0.75996873280127686</v>
      </c>
      <c r="H93" s="36">
        <v>1.1774018251252529</v>
      </c>
      <c r="I93" s="36">
        <v>1.0033584896898251</v>
      </c>
      <c r="J93" s="36">
        <v>1.5544798963783533</v>
      </c>
      <c r="K93" s="36">
        <v>1.3062334225151486</v>
      </c>
      <c r="L93" s="36">
        <v>2.0237169627228608</v>
      </c>
      <c r="M93" s="140" t="s">
        <v>213</v>
      </c>
      <c r="N93" s="43"/>
    </row>
    <row r="94" spans="1:14" x14ac:dyDescent="0.25">
      <c r="A94" s="2" t="s">
        <v>53</v>
      </c>
      <c r="B94" s="87"/>
      <c r="C94" s="37"/>
      <c r="D94" s="36"/>
      <c r="E94" s="36"/>
      <c r="F94" s="36"/>
      <c r="G94" s="36"/>
      <c r="H94" s="36"/>
      <c r="I94" s="37"/>
      <c r="J94" s="36"/>
      <c r="K94" s="37"/>
      <c r="L94" s="37"/>
      <c r="M94" s="141"/>
      <c r="N94" s="43"/>
    </row>
    <row r="95" spans="1:14" x14ac:dyDescent="0.25">
      <c r="A95" s="92" t="s">
        <v>54</v>
      </c>
      <c r="B95" s="85" t="s">
        <v>214</v>
      </c>
      <c r="C95" s="36">
        <v>0.1588783245860548</v>
      </c>
      <c r="D95" s="36">
        <v>0.35046440026022546</v>
      </c>
      <c r="E95" s="36">
        <v>0.33067416033692204</v>
      </c>
      <c r="F95" s="36">
        <v>0.72942310781520503</v>
      </c>
      <c r="G95" s="36">
        <v>0.52057743788682687</v>
      </c>
      <c r="H95" s="36">
        <v>1.1483244176532885</v>
      </c>
      <c r="I95" s="36">
        <v>0.61808392924993483</v>
      </c>
      <c r="J95" s="36">
        <v>1.3634107367347896</v>
      </c>
      <c r="K95" s="36">
        <v>0.84738961741264107</v>
      </c>
      <c r="L95" s="36">
        <v>1.8692285107299644</v>
      </c>
      <c r="M95" s="140" t="s">
        <v>213</v>
      </c>
      <c r="N95" s="43"/>
    </row>
    <row r="96" spans="1:14" x14ac:dyDescent="0.25">
      <c r="A96" s="92" t="s">
        <v>210</v>
      </c>
      <c r="B96" s="85" t="s">
        <v>214</v>
      </c>
      <c r="C96" s="36">
        <v>0.33402828749429769</v>
      </c>
      <c r="D96" s="36">
        <v>0.34624258854033912</v>
      </c>
      <c r="E96" s="36">
        <v>0.61179325145087948</v>
      </c>
      <c r="F96" s="36">
        <v>0.63416449134559993</v>
      </c>
      <c r="G96" s="36">
        <v>1.2507329958097388</v>
      </c>
      <c r="H96" s="36">
        <v>1.2964681323565146</v>
      </c>
      <c r="I96" s="36">
        <v>2.7761715625814669</v>
      </c>
      <c r="J96" s="36">
        <v>2.8776869027198599</v>
      </c>
      <c r="K96" s="36">
        <v>3.2847516435067581</v>
      </c>
      <c r="L96" s="36">
        <v>3.4048640619376549</v>
      </c>
      <c r="M96" s="140" t="s">
        <v>213</v>
      </c>
      <c r="N96" s="43"/>
    </row>
    <row r="97" spans="1:14" x14ac:dyDescent="0.25">
      <c r="A97" s="2" t="s">
        <v>55</v>
      </c>
      <c r="B97" s="87"/>
      <c r="C97" s="36"/>
      <c r="D97" s="36"/>
      <c r="E97" s="36"/>
      <c r="F97" s="36"/>
      <c r="G97" s="36"/>
      <c r="H97" s="37"/>
      <c r="I97" s="37"/>
      <c r="J97" s="37"/>
      <c r="K97" s="37"/>
      <c r="L97" s="36"/>
      <c r="M97" s="141"/>
      <c r="N97" s="43"/>
    </row>
    <row r="98" spans="1:14" x14ac:dyDescent="0.25">
      <c r="A98" s="92" t="s">
        <v>180</v>
      </c>
      <c r="B98" s="85" t="s">
        <v>214</v>
      </c>
      <c r="C98" s="36">
        <v>1.7875108881303933E-2</v>
      </c>
      <c r="D98" s="36">
        <v>4.8828839094095237E-2</v>
      </c>
      <c r="E98" s="36">
        <v>2.2343886101629917E-2</v>
      </c>
      <c r="F98" s="36">
        <v>6.1036048867619055E-2</v>
      </c>
      <c r="G98" s="36">
        <v>4.6570343702280768E-2</v>
      </c>
      <c r="H98" s="36">
        <v>0.12721465554673028</v>
      </c>
      <c r="I98" s="36">
        <v>5.4332067652660895E-2</v>
      </c>
      <c r="J98" s="36">
        <v>0.148417098137852</v>
      </c>
      <c r="K98" s="36">
        <v>6.2093791603041029E-2</v>
      </c>
      <c r="L98" s="36">
        <v>0.16961954072897373</v>
      </c>
      <c r="M98" s="140" t="s">
        <v>213</v>
      </c>
      <c r="N98" s="43"/>
    </row>
    <row r="99" spans="1:14" x14ac:dyDescent="0.25">
      <c r="A99" s="39" t="s">
        <v>57</v>
      </c>
      <c r="B99" s="96" t="s">
        <v>218</v>
      </c>
      <c r="C99" s="36">
        <v>3.5333333333333328E-2</v>
      </c>
      <c r="D99" s="36">
        <v>9.7572823333333336E-2</v>
      </c>
      <c r="E99" s="36">
        <v>4.4166666666666667E-2</v>
      </c>
      <c r="F99" s="36">
        <v>0.12196602916666668</v>
      </c>
      <c r="G99" s="36">
        <v>5.2999999999999999E-2</v>
      </c>
      <c r="H99" s="36">
        <v>0.146359235</v>
      </c>
      <c r="I99" s="36">
        <v>6.183333333333333E-2</v>
      </c>
      <c r="J99" s="36">
        <v>0.17075244083333332</v>
      </c>
      <c r="K99" s="37">
        <v>7.0666666666666655E-2</v>
      </c>
      <c r="L99" s="36">
        <v>0.19514564666666667</v>
      </c>
      <c r="M99" s="139" t="s">
        <v>130</v>
      </c>
      <c r="N99" s="43" t="s">
        <v>131</v>
      </c>
    </row>
    <row r="100" spans="1:14" x14ac:dyDescent="0.25">
      <c r="A100" s="93" t="s">
        <v>57</v>
      </c>
      <c r="B100" s="85" t="s">
        <v>214</v>
      </c>
      <c r="C100" s="36">
        <v>1.4848292609940923E-2</v>
      </c>
      <c r="D100" s="36">
        <v>4.1003485800888813E-2</v>
      </c>
      <c r="E100" s="36">
        <v>1.8560365762426152E-2</v>
      </c>
      <c r="F100" s="36">
        <v>5.1254357251111014E-2</v>
      </c>
      <c r="G100" s="36">
        <v>3.5327485281266127E-2</v>
      </c>
      <c r="H100" s="36">
        <v>9.7556673966789992E-2</v>
      </c>
      <c r="I100" s="36">
        <v>4.1215399494810484E-2</v>
      </c>
      <c r="J100" s="36">
        <v>0.11381611962792167</v>
      </c>
      <c r="K100" s="36">
        <v>4.7103313708354841E-2</v>
      </c>
      <c r="L100" s="36">
        <v>0.13007556528905334</v>
      </c>
      <c r="M100" s="140" t="s">
        <v>213</v>
      </c>
      <c r="N100" s="43"/>
    </row>
    <row r="101" spans="1:14" x14ac:dyDescent="0.25">
      <c r="A101" s="92" t="s">
        <v>58</v>
      </c>
      <c r="B101" s="85" t="s">
        <v>214</v>
      </c>
      <c r="C101" s="36">
        <v>1.4033784511862425E-2</v>
      </c>
      <c r="D101" s="36">
        <v>4.3569848746908557E-2</v>
      </c>
      <c r="E101" s="36">
        <v>1.754223063982803E-2</v>
      </c>
      <c r="F101" s="36">
        <v>5.4462310933635683E-2</v>
      </c>
      <c r="G101" s="36">
        <v>2.1050676767793638E-2</v>
      </c>
      <c r="H101" s="36">
        <v>6.5354773120362836E-2</v>
      </c>
      <c r="I101" s="36">
        <v>3.3104626383453767E-2</v>
      </c>
      <c r="J101" s="36">
        <v>0.1027779472551259</v>
      </c>
      <c r="K101" s="36">
        <v>3.7833858723947164E-2</v>
      </c>
      <c r="L101" s="36">
        <v>0.11746051114871532</v>
      </c>
      <c r="M101" s="140" t="s">
        <v>213</v>
      </c>
      <c r="N101" s="43"/>
    </row>
    <row r="102" spans="1:14" x14ac:dyDescent="0.25">
      <c r="A102" s="305" t="s">
        <v>58</v>
      </c>
      <c r="B102" s="318" t="s">
        <v>214</v>
      </c>
      <c r="C102" s="37">
        <f>Datos!C76</f>
        <v>3.3503830928553087E-2</v>
      </c>
      <c r="D102" s="37">
        <f>Datos!D76</f>
        <v>5.5735242101476262E-2</v>
      </c>
      <c r="E102" s="37">
        <f>Datos!E76</f>
        <v>5.8341290419510826E-2</v>
      </c>
      <c r="F102" s="37">
        <f>Datos!F76</f>
        <v>9.7053556441893188E-2</v>
      </c>
      <c r="G102" s="37">
        <f>Datos!G76</f>
        <v>0.10075270942259493</v>
      </c>
      <c r="H102" s="37">
        <f>Datos!H76</f>
        <v>0.16760700183877539</v>
      </c>
      <c r="I102" s="37">
        <f>Datos!I76</f>
        <v>0.11754482765969408</v>
      </c>
      <c r="J102" s="37">
        <f>Datos!J76</f>
        <v>0.19554150214523794</v>
      </c>
      <c r="K102" s="37">
        <f>Datos!K76</f>
        <v>0.17605825136816797</v>
      </c>
      <c r="L102" s="37">
        <f>Datos!L76</f>
        <v>0.29288141063309686</v>
      </c>
      <c r="M102" s="317" t="s">
        <v>487</v>
      </c>
      <c r="N102" s="43"/>
    </row>
    <row r="103" spans="1:14" x14ac:dyDescent="0.25">
      <c r="A103" s="39" t="s">
        <v>59</v>
      </c>
      <c r="B103" s="96" t="s">
        <v>218</v>
      </c>
      <c r="C103" s="36">
        <v>3.7999999999999999E-2</v>
      </c>
      <c r="D103" s="36">
        <v>7.9411640000000006E-2</v>
      </c>
      <c r="E103" s="36">
        <v>4.7500000000000001E-2</v>
      </c>
      <c r="F103" s="36">
        <v>9.9264549999999993E-2</v>
      </c>
      <c r="G103" s="36">
        <v>5.7000000000000002E-2</v>
      </c>
      <c r="H103" s="36">
        <v>0.11911745999999999</v>
      </c>
      <c r="I103" s="36">
        <v>6.6500000000000004E-2</v>
      </c>
      <c r="J103" s="36">
        <v>0.13897037000000001</v>
      </c>
      <c r="K103" s="37">
        <v>7.5999999999999998E-2</v>
      </c>
      <c r="L103" s="36">
        <v>0.15882328000000001</v>
      </c>
      <c r="M103" s="139" t="s">
        <v>130</v>
      </c>
      <c r="N103" s="43" t="s">
        <v>131</v>
      </c>
    </row>
    <row r="104" spans="1:14" x14ac:dyDescent="0.25">
      <c r="A104" s="93" t="s">
        <v>59</v>
      </c>
      <c r="B104" s="85" t="s">
        <v>214</v>
      </c>
      <c r="C104" s="36">
        <v>2.6624296652618271E-2</v>
      </c>
      <c r="D104" s="36">
        <v>5.5638922658708602E-2</v>
      </c>
      <c r="E104" s="36">
        <v>3.3280370815772835E-2</v>
      </c>
      <c r="F104" s="36">
        <v>6.9548653323385751E-2</v>
      </c>
      <c r="G104" s="36">
        <v>8.5655255515471082E-2</v>
      </c>
      <c r="H104" s="36">
        <v>0.17900063987112114</v>
      </c>
      <c r="I104" s="36">
        <v>9.9931131434716255E-2</v>
      </c>
      <c r="J104" s="36">
        <v>0.20883407984964134</v>
      </c>
      <c r="K104" s="36">
        <v>0.11420700735396144</v>
      </c>
      <c r="L104" s="36">
        <v>0.23866751982816153</v>
      </c>
      <c r="M104" s="140" t="s">
        <v>213</v>
      </c>
      <c r="N104" s="43"/>
    </row>
    <row r="105" spans="1:14" x14ac:dyDescent="0.25">
      <c r="A105" s="92" t="s">
        <v>60</v>
      </c>
      <c r="B105" s="85" t="s">
        <v>214</v>
      </c>
      <c r="C105" s="36">
        <v>3.0960646267520889E-2</v>
      </c>
      <c r="D105" s="36">
        <v>6.8552185747233832E-2</v>
      </c>
      <c r="E105" s="36">
        <v>5.5535418063081127E-2</v>
      </c>
      <c r="F105" s="36">
        <v>0.12296494917176243</v>
      </c>
      <c r="G105" s="36">
        <v>6.6642501675697352E-2</v>
      </c>
      <c r="H105" s="36">
        <v>0.14755793900611491</v>
      </c>
      <c r="I105" s="36">
        <v>0.10425333573826619</v>
      </c>
      <c r="J105" s="36">
        <v>0.23083478214715636</v>
      </c>
      <c r="K105" s="36">
        <v>0.11914666941516135</v>
      </c>
      <c r="L105" s="36">
        <v>0.26381117959675016</v>
      </c>
      <c r="M105" s="140" t="s">
        <v>213</v>
      </c>
      <c r="N105" s="43"/>
    </row>
    <row r="106" spans="1:14" x14ac:dyDescent="0.25">
      <c r="A106" s="39" t="s">
        <v>61</v>
      </c>
      <c r="B106" s="96" t="s">
        <v>218</v>
      </c>
      <c r="C106" s="36">
        <v>3.8399999999999997E-2</v>
      </c>
      <c r="D106" s="36">
        <v>0.10572883199999998</v>
      </c>
      <c r="E106" s="36">
        <v>4.8000000000000001E-2</v>
      </c>
      <c r="F106" s="36">
        <v>0.13216104000000001</v>
      </c>
      <c r="G106" s="36">
        <v>5.7599999999999991E-2</v>
      </c>
      <c r="H106" s="36">
        <v>0.15859324799999999</v>
      </c>
      <c r="I106" s="36">
        <v>6.720000000000001E-2</v>
      </c>
      <c r="J106" s="36">
        <v>0.18502545600000006</v>
      </c>
      <c r="K106" s="37">
        <v>7.6799999999999993E-2</v>
      </c>
      <c r="L106" s="36">
        <v>0.21145766399999996</v>
      </c>
      <c r="M106" s="139" t="s">
        <v>130</v>
      </c>
      <c r="N106" s="43" t="s">
        <v>131</v>
      </c>
    </row>
    <row r="107" spans="1:14" x14ac:dyDescent="0.25">
      <c r="A107" s="93" t="s">
        <v>61</v>
      </c>
      <c r="B107" s="85" t="s">
        <v>214</v>
      </c>
      <c r="C107" s="36">
        <v>1.9354648683058993E-2</v>
      </c>
      <c r="D107" s="36">
        <v>5.3290218724743897E-2</v>
      </c>
      <c r="E107" s="36">
        <v>2.4193310853823743E-2</v>
      </c>
      <c r="F107" s="36">
        <v>6.6612773405929887E-2</v>
      </c>
      <c r="G107" s="36">
        <v>5.3727881844045491E-2</v>
      </c>
      <c r="H107" s="36">
        <v>0.14793193211471187</v>
      </c>
      <c r="I107" s="36">
        <v>6.2682528818053071E-2</v>
      </c>
      <c r="J107" s="36">
        <v>0.17258725413383053</v>
      </c>
      <c r="K107" s="36">
        <v>7.1637175792060651E-2</v>
      </c>
      <c r="L107" s="36">
        <v>0.19724257615294916</v>
      </c>
      <c r="M107" s="140" t="s">
        <v>213</v>
      </c>
      <c r="N107" s="43"/>
    </row>
    <row r="108" spans="1:14" x14ac:dyDescent="0.25">
      <c r="A108" s="38" t="s">
        <v>62</v>
      </c>
      <c r="B108" s="88" t="s">
        <v>242</v>
      </c>
      <c r="C108" s="36"/>
      <c r="D108" s="36">
        <v>2.4741729460580914E-2</v>
      </c>
      <c r="E108" s="36"/>
      <c r="F108" s="36">
        <v>4.2108132132132131E-2</v>
      </c>
      <c r="G108" s="36"/>
      <c r="H108" s="36">
        <v>9.8011439904799699E-2</v>
      </c>
      <c r="I108" s="36"/>
      <c r="J108" s="36">
        <v>0.2209103448275862</v>
      </c>
      <c r="K108" s="36"/>
      <c r="L108" s="36">
        <v>0.4726752487309645</v>
      </c>
      <c r="M108" s="28" t="s">
        <v>81</v>
      </c>
      <c r="N108" s="43"/>
    </row>
    <row r="109" spans="1:14" x14ac:dyDescent="0.25">
      <c r="A109" s="39" t="s">
        <v>62</v>
      </c>
      <c r="B109" s="96" t="s">
        <v>218</v>
      </c>
      <c r="C109" s="36">
        <v>5.6500000000000002E-2</v>
      </c>
      <c r="D109" s="36">
        <v>0.11807257</v>
      </c>
      <c r="E109" s="36">
        <v>7.0624999999999993E-2</v>
      </c>
      <c r="F109" s="36">
        <v>0.1475907125</v>
      </c>
      <c r="G109" s="36">
        <v>8.4750000000000006E-2</v>
      </c>
      <c r="H109" s="36">
        <v>0.17710885500000004</v>
      </c>
      <c r="I109" s="36">
        <v>9.8875000000000005E-2</v>
      </c>
      <c r="J109" s="36">
        <v>0.20662699749999999</v>
      </c>
      <c r="K109" s="37">
        <v>0.113</v>
      </c>
      <c r="L109" s="36">
        <v>0.23614514</v>
      </c>
      <c r="M109" s="139" t="s">
        <v>130</v>
      </c>
      <c r="N109" s="43" t="s">
        <v>148</v>
      </c>
    </row>
    <row r="110" spans="1:14" x14ac:dyDescent="0.25">
      <c r="A110" s="93" t="s">
        <v>62</v>
      </c>
      <c r="B110" s="85" t="s">
        <v>214</v>
      </c>
      <c r="C110" s="36">
        <v>3.3837493759715447E-2</v>
      </c>
      <c r="D110" s="36">
        <v>7.0712917709178133E-2</v>
      </c>
      <c r="E110" s="36">
        <v>7.6750370757631942E-2</v>
      </c>
      <c r="F110" s="36">
        <v>0.16039138980188405</v>
      </c>
      <c r="G110" s="36">
        <v>9.2100444909158335E-2</v>
      </c>
      <c r="H110" s="36">
        <v>0.1924696677622609</v>
      </c>
      <c r="I110" s="36">
        <v>0.10745051906068473</v>
      </c>
      <c r="J110" s="36">
        <v>0.2245479457226377</v>
      </c>
      <c r="K110" s="36">
        <v>0.16228837751151071</v>
      </c>
      <c r="L110" s="36">
        <v>0.3391470055560048</v>
      </c>
      <c r="M110" s="140" t="s">
        <v>213</v>
      </c>
      <c r="N110" s="43"/>
    </row>
    <row r="111" spans="1:14" x14ac:dyDescent="0.25">
      <c r="A111" s="136" t="s">
        <v>62</v>
      </c>
      <c r="B111" s="135" t="s">
        <v>246</v>
      </c>
      <c r="C111" s="36"/>
      <c r="D111" s="36">
        <v>3.3775316398753537E-2</v>
      </c>
      <c r="E111" s="36"/>
      <c r="F111" s="36">
        <v>5.9661138638327713E-2</v>
      </c>
      <c r="G111" s="36"/>
      <c r="H111" s="36">
        <v>0.1188606916457756</v>
      </c>
      <c r="I111" s="36"/>
      <c r="J111" s="36">
        <v>0.21498591506157547</v>
      </c>
      <c r="K111" s="36"/>
      <c r="L111" s="36">
        <v>0.34811559038749534</v>
      </c>
      <c r="M111" s="142" t="s">
        <v>85</v>
      </c>
      <c r="N111" s="43"/>
    </row>
    <row r="112" spans="1:14" x14ac:dyDescent="0.25">
      <c r="A112" s="92" t="s">
        <v>98</v>
      </c>
      <c r="B112" s="85" t="s">
        <v>214</v>
      </c>
      <c r="C112" s="36">
        <v>3.6271193707291177E-2</v>
      </c>
      <c r="D112" s="36">
        <v>7.2189347795831374E-2</v>
      </c>
      <c r="E112" s="36">
        <v>9.2760006106566914E-2</v>
      </c>
      <c r="F112" s="36">
        <v>0.18461714815369659</v>
      </c>
      <c r="G112" s="36">
        <v>0.1113120073278803</v>
      </c>
      <c r="H112" s="36">
        <v>0.22154057778443589</v>
      </c>
      <c r="I112" s="36">
        <v>0.1744750679670522</v>
      </c>
      <c r="J112" s="36">
        <v>0.34725191193922511</v>
      </c>
      <c r="K112" s="36">
        <v>0.19940007767663109</v>
      </c>
      <c r="L112" s="36">
        <v>0.39685932793054296</v>
      </c>
      <c r="M112" s="140" t="s">
        <v>213</v>
      </c>
      <c r="N112" s="43"/>
    </row>
    <row r="113" spans="1:14" x14ac:dyDescent="0.25">
      <c r="A113" s="92" t="s">
        <v>106</v>
      </c>
      <c r="B113" s="85" t="s">
        <v>214</v>
      </c>
      <c r="C113" s="36">
        <v>2.8768468145291475E-2</v>
      </c>
      <c r="D113" s="36">
        <v>8.9315736942597715E-2</v>
      </c>
      <c r="E113" s="36">
        <v>3.5960585181614345E-2</v>
      </c>
      <c r="F113" s="36">
        <v>0.11164467117824715</v>
      </c>
      <c r="G113" s="36">
        <v>4.96763616512092E-2</v>
      </c>
      <c r="H113" s="36">
        <v>0.15422721943681011</v>
      </c>
      <c r="I113" s="36">
        <v>5.7955755259744064E-2</v>
      </c>
      <c r="J113" s="36">
        <v>0.17993175600961181</v>
      </c>
      <c r="K113" s="36">
        <v>6.6235148868278929E-2</v>
      </c>
      <c r="L113" s="36">
        <v>0.20563629258241348</v>
      </c>
      <c r="M113" s="140" t="s">
        <v>213</v>
      </c>
      <c r="N113" s="43"/>
    </row>
    <row r="114" spans="1:14" x14ac:dyDescent="0.25">
      <c r="A114" s="305" t="s">
        <v>106</v>
      </c>
      <c r="B114" s="318" t="s">
        <v>214</v>
      </c>
      <c r="C114" s="37">
        <f>Datos!C84</f>
        <v>6.2E-2</v>
      </c>
      <c r="D114" s="37">
        <f>Datos!D84</f>
        <v>9.0135393333333313E-2</v>
      </c>
      <c r="E114" s="37">
        <f>Datos!E84</f>
        <v>7.7499999999999999E-2</v>
      </c>
      <c r="F114" s="37">
        <f>Datos!F84</f>
        <v>0.11266924166666666</v>
      </c>
      <c r="G114" s="37">
        <f>Datos!G84</f>
        <v>9.2999999999999999E-2</v>
      </c>
      <c r="H114" s="37">
        <f>Datos!H84</f>
        <v>0.13520308999999997</v>
      </c>
      <c r="I114" s="37">
        <f>Datos!I84</f>
        <v>0.1085</v>
      </c>
      <c r="J114" s="37">
        <f>Datos!J84</f>
        <v>0.15773693833333333</v>
      </c>
      <c r="K114" s="37">
        <f>Datos!K84</f>
        <v>0.124</v>
      </c>
      <c r="L114" s="37">
        <f>Datos!L84</f>
        <v>0.18027078666666663</v>
      </c>
      <c r="M114" s="317" t="s">
        <v>487</v>
      </c>
      <c r="N114" s="43"/>
    </row>
    <row r="115" spans="1:14" x14ac:dyDescent="0.25">
      <c r="A115" s="5" t="s">
        <v>63</v>
      </c>
      <c r="B115" s="89"/>
      <c r="C115" s="36"/>
      <c r="D115" s="36"/>
      <c r="E115" s="36"/>
      <c r="F115" s="36"/>
      <c r="G115" s="36"/>
      <c r="H115" s="36"/>
      <c r="I115" s="36"/>
      <c r="J115" s="36"/>
      <c r="K115" s="36"/>
      <c r="L115" s="36"/>
      <c r="M115" s="141"/>
      <c r="N115" s="43"/>
    </row>
    <row r="116" spans="1:14" x14ac:dyDescent="0.25">
      <c r="A116" s="92" t="s">
        <v>64</v>
      </c>
      <c r="B116" s="85" t="s">
        <v>214</v>
      </c>
      <c r="C116" s="36">
        <v>2.7231583871240757E-2</v>
      </c>
      <c r="D116" s="36">
        <v>6.0069243142107612E-2</v>
      </c>
      <c r="E116" s="36">
        <v>7.221104985622355E-2</v>
      </c>
      <c r="F116" s="36">
        <v>0.15928794784284833</v>
      </c>
      <c r="G116" s="36">
        <v>8.6653259827468271E-2</v>
      </c>
      <c r="H116" s="36">
        <v>0.19114553741141802</v>
      </c>
      <c r="I116" s="36">
        <v>0.15598954072599311</v>
      </c>
      <c r="J116" s="36">
        <v>0.34409212823611068</v>
      </c>
      <c r="K116" s="36">
        <v>0.17827376082970639</v>
      </c>
      <c r="L116" s="36">
        <v>0.39324814655555496</v>
      </c>
      <c r="M116" s="140" t="s">
        <v>213</v>
      </c>
      <c r="N116" s="43"/>
    </row>
    <row r="117" spans="1:14" x14ac:dyDescent="0.25">
      <c r="A117" s="92" t="s">
        <v>211</v>
      </c>
      <c r="B117" s="85" t="s">
        <v>214</v>
      </c>
      <c r="C117" s="36">
        <v>0.13993173246654608</v>
      </c>
      <c r="D117" s="36">
        <v>0.3086707442568718</v>
      </c>
      <c r="E117" s="36">
        <v>0.26066265362298341</v>
      </c>
      <c r="F117" s="36">
        <v>0.57498705887181834</v>
      </c>
      <c r="G117" s="36">
        <v>0.40603515156448039</v>
      </c>
      <c r="H117" s="36">
        <v>0.89565940633103525</v>
      </c>
      <c r="I117" s="36">
        <v>0.56415193613376724</v>
      </c>
      <c r="J117" s="36">
        <v>1.2444439508529392</v>
      </c>
      <c r="K117" s="36">
        <v>0.61922533725760553</v>
      </c>
      <c r="L117" s="36">
        <v>1.3659285306119766</v>
      </c>
      <c r="M117" s="140" t="s">
        <v>213</v>
      </c>
      <c r="N117" s="43"/>
    </row>
    <row r="118" spans="1:14" x14ac:dyDescent="0.25">
      <c r="A118" s="5" t="s">
        <v>65</v>
      </c>
      <c r="B118" s="89"/>
      <c r="C118" s="36"/>
      <c r="D118" s="36"/>
      <c r="E118" s="36"/>
      <c r="F118" s="36"/>
      <c r="G118" s="36"/>
      <c r="H118" s="36"/>
      <c r="I118" s="36"/>
      <c r="J118" s="36"/>
      <c r="K118" s="36"/>
      <c r="L118" s="36"/>
      <c r="M118" s="141"/>
      <c r="N118" s="43"/>
    </row>
    <row r="119" spans="1:14" x14ac:dyDescent="0.25">
      <c r="A119" s="92" t="s">
        <v>67</v>
      </c>
      <c r="B119" s="85" t="s">
        <v>214</v>
      </c>
      <c r="C119" s="36">
        <v>6.2140816833345464E-2</v>
      </c>
      <c r="D119" s="36">
        <v>0.16514543481629892</v>
      </c>
      <c r="E119" s="36">
        <v>7.7676021041681836E-2</v>
      </c>
      <c r="F119" s="36">
        <v>0.20643179352037366</v>
      </c>
      <c r="G119" s="36">
        <v>9.3211225250018195E-2</v>
      </c>
      <c r="H119" s="36">
        <v>0.24771815222444837</v>
      </c>
      <c r="I119" s="36">
        <v>0.10874642945835457</v>
      </c>
      <c r="J119" s="36">
        <v>0.28900451092852308</v>
      </c>
      <c r="K119" s="36">
        <v>0.12428163366669093</v>
      </c>
      <c r="L119" s="36">
        <v>0.33029086963259785</v>
      </c>
      <c r="M119" s="140" t="s">
        <v>213</v>
      </c>
      <c r="N119" s="43"/>
    </row>
    <row r="120" spans="1:14" x14ac:dyDescent="0.25">
      <c r="A120" s="92" t="s">
        <v>212</v>
      </c>
      <c r="B120" s="85" t="s">
        <v>214</v>
      </c>
      <c r="C120" s="36">
        <v>1.4552614868954362E-2</v>
      </c>
      <c r="D120" s="36">
        <v>2.8664770594541707E-2</v>
      </c>
      <c r="E120" s="36">
        <v>3.3820935737924614E-2</v>
      </c>
      <c r="F120" s="36">
        <v>6.6618224487514713E-2</v>
      </c>
      <c r="G120" s="36">
        <v>4.0585122885509535E-2</v>
      </c>
      <c r="H120" s="36">
        <v>7.9941869385017642E-2</v>
      </c>
      <c r="I120" s="36">
        <v>7.1138125670237848E-2</v>
      </c>
      <c r="J120" s="36">
        <v>0.14012313740352317</v>
      </c>
      <c r="K120" s="36">
        <v>8.1300715051700403E-2</v>
      </c>
      <c r="L120" s="36">
        <v>0.16014072846116933</v>
      </c>
      <c r="M120" s="140" t="s">
        <v>213</v>
      </c>
      <c r="N120" s="43"/>
    </row>
    <row r="121" spans="1:14" x14ac:dyDescent="0.25">
      <c r="A121" s="5" t="s">
        <v>69</v>
      </c>
      <c r="B121" s="89"/>
      <c r="C121" s="36"/>
      <c r="D121" s="36"/>
      <c r="E121" s="36"/>
      <c r="F121" s="36"/>
      <c r="G121" s="36"/>
      <c r="H121" s="36"/>
      <c r="I121" s="36"/>
      <c r="J121" s="36"/>
      <c r="K121" s="36"/>
      <c r="L121" s="36"/>
      <c r="M121" s="141"/>
      <c r="N121" s="43"/>
    </row>
    <row r="122" spans="1:14" x14ac:dyDescent="0.25">
      <c r="A122" s="5" t="s">
        <v>70</v>
      </c>
      <c r="B122" s="89"/>
      <c r="C122" s="36"/>
      <c r="D122" s="36"/>
      <c r="E122" s="36"/>
      <c r="F122" s="36"/>
      <c r="G122" s="36"/>
      <c r="H122" s="36"/>
      <c r="I122" s="36"/>
      <c r="J122" s="36"/>
      <c r="K122" s="36"/>
      <c r="L122" s="36"/>
      <c r="M122" s="141"/>
      <c r="N122" s="43"/>
    </row>
    <row r="123" spans="1:14" x14ac:dyDescent="0.25">
      <c r="A123" s="94" t="s">
        <v>71</v>
      </c>
      <c r="B123" s="95"/>
      <c r="C123" s="36"/>
      <c r="D123" s="36"/>
      <c r="E123" s="36"/>
      <c r="F123" s="36"/>
      <c r="G123" s="36"/>
      <c r="H123" s="36"/>
      <c r="I123" s="36"/>
      <c r="J123" s="36"/>
      <c r="K123" s="36"/>
      <c r="L123" s="36"/>
      <c r="M123" s="141"/>
      <c r="N123" s="43"/>
    </row>
    <row r="124" spans="1:14" x14ac:dyDescent="0.25">
      <c r="A124" s="92" t="s">
        <v>72</v>
      </c>
      <c r="B124" s="85" t="s">
        <v>214</v>
      </c>
      <c r="C124" s="36">
        <v>2.6976298890617898E-2</v>
      </c>
      <c r="D124" s="36">
        <v>5.1766168756151212E-2</v>
      </c>
      <c r="E124" s="36">
        <v>3.295231159662796E-2</v>
      </c>
      <c r="F124" s="36">
        <v>6.3233838338349224E-2</v>
      </c>
      <c r="G124" s="36">
        <v>4.5592134029955503E-2</v>
      </c>
      <c r="H124" s="36">
        <v>8.7489025596783121E-2</v>
      </c>
      <c r="I124" s="36">
        <v>6.0733508148132463E-2</v>
      </c>
      <c r="J124" s="36">
        <v>0.1165445654608588</v>
      </c>
      <c r="K124" s="36">
        <v>6.9409723597865666E-2</v>
      </c>
      <c r="L124" s="36">
        <v>0.13319378909812432</v>
      </c>
      <c r="M124" s="140" t="s">
        <v>213</v>
      </c>
      <c r="N124" s="43"/>
    </row>
    <row r="125" spans="1:14" x14ac:dyDescent="0.25">
      <c r="A125" s="27" t="s">
        <v>73</v>
      </c>
      <c r="B125" s="96" t="s">
        <v>218</v>
      </c>
      <c r="C125" s="36">
        <v>7.2666666666666671E-2</v>
      </c>
      <c r="D125" s="36">
        <v>0.18032959999999998</v>
      </c>
      <c r="E125" s="36">
        <v>9.0833333333333335E-2</v>
      </c>
      <c r="F125" s="36">
        <v>0.225412</v>
      </c>
      <c r="G125" s="36">
        <v>0.109</v>
      </c>
      <c r="H125" s="36">
        <v>0.27049440000000002</v>
      </c>
      <c r="I125" s="36">
        <v>0.20300000000000001</v>
      </c>
      <c r="J125" s="36">
        <v>0.50376480000000001</v>
      </c>
      <c r="K125" s="37">
        <v>0.23200000000000001</v>
      </c>
      <c r="L125" s="36">
        <v>0.5757312</v>
      </c>
      <c r="M125" s="139" t="s">
        <v>130</v>
      </c>
      <c r="N125" s="43" t="s">
        <v>148</v>
      </c>
    </row>
    <row r="127" spans="1:14" x14ac:dyDescent="0.25">
      <c r="A127" s="28" t="s">
        <v>81</v>
      </c>
    </row>
    <row r="128" spans="1:14" x14ac:dyDescent="0.25">
      <c r="A128" s="17" t="s">
        <v>130</v>
      </c>
    </row>
    <row r="129" spans="1:4" x14ac:dyDescent="0.25">
      <c r="A129" s="44" t="s">
        <v>217</v>
      </c>
      <c r="B129" s="86"/>
    </row>
    <row r="130" spans="1:4" x14ac:dyDescent="0.25">
      <c r="A130" s="133" t="s">
        <v>85</v>
      </c>
      <c r="B130" s="86"/>
    </row>
    <row r="131" spans="1:4" ht="45" x14ac:dyDescent="0.25">
      <c r="A131" s="306" t="s">
        <v>488</v>
      </c>
    </row>
    <row r="132" spans="1:4" x14ac:dyDescent="0.25">
      <c r="A132" s="97" t="s">
        <v>219</v>
      </c>
    </row>
    <row r="133" spans="1:4" x14ac:dyDescent="0.25">
      <c r="A133" s="97" t="s">
        <v>220</v>
      </c>
      <c r="D133" s="91"/>
    </row>
    <row r="134" spans="1:4" x14ac:dyDescent="0.25">
      <c r="A134" t="s">
        <v>221</v>
      </c>
      <c r="C134" t="s">
        <v>222</v>
      </c>
      <c r="D134" s="91"/>
    </row>
    <row r="135" spans="1:4" x14ac:dyDescent="0.25">
      <c r="D135" s="91"/>
    </row>
    <row r="136" spans="1:4" x14ac:dyDescent="0.25">
      <c r="D136" s="91"/>
    </row>
    <row r="137" spans="1:4" x14ac:dyDescent="0.25">
      <c r="D137" s="91"/>
    </row>
    <row r="138" spans="1:4" x14ac:dyDescent="0.25">
      <c r="D138" s="91"/>
    </row>
    <row r="139" spans="1:4" x14ac:dyDescent="0.25">
      <c r="D139" s="91"/>
    </row>
    <row r="140" spans="1:4" x14ac:dyDescent="0.25">
      <c r="D140" s="91"/>
    </row>
    <row r="141" spans="1:4" x14ac:dyDescent="0.25">
      <c r="D141" s="91"/>
    </row>
    <row r="142" spans="1:4" x14ac:dyDescent="0.25">
      <c r="D142" s="91"/>
    </row>
  </sheetData>
  <autoFilter ref="A1:N125"/>
  <mergeCells count="2">
    <mergeCell ref="A66:A67"/>
    <mergeCell ref="A80:A82"/>
  </mergeCells>
  <phoneticPr fontId="75" type="noConversion"/>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G293"/>
  <sheetViews>
    <sheetView workbookViewId="0">
      <selection activeCell="D289" sqref="D289:D293"/>
    </sheetView>
  </sheetViews>
  <sheetFormatPr baseColWidth="10" defaultRowHeight="15" x14ac:dyDescent="0.25"/>
  <cols>
    <col min="3" max="3" width="31.28515625" bestFit="1" customWidth="1"/>
  </cols>
  <sheetData>
    <row r="1" spans="1:7" ht="33" x14ac:dyDescent="0.25">
      <c r="A1" s="42" t="s">
        <v>197</v>
      </c>
      <c r="B1" s="42" t="s">
        <v>198</v>
      </c>
      <c r="C1" s="66" t="s">
        <v>93</v>
      </c>
      <c r="D1" s="42" t="s">
        <v>199</v>
      </c>
      <c r="E1" s="67" t="s">
        <v>201</v>
      </c>
      <c r="F1" s="66" t="s">
        <v>200</v>
      </c>
      <c r="G1" s="66" t="s">
        <v>140</v>
      </c>
    </row>
    <row r="2" spans="1:7" hidden="1" x14ac:dyDescent="0.25">
      <c r="A2" s="68">
        <v>4.6757813230590823</v>
      </c>
      <c r="B2" s="69">
        <v>20</v>
      </c>
      <c r="C2" s="70" t="s">
        <v>3</v>
      </c>
      <c r="D2" s="71">
        <v>4.8031274739990908E-2</v>
      </c>
      <c r="E2" s="73">
        <v>6.3544816116135994E-2</v>
      </c>
      <c r="F2" s="72">
        <v>0.61</v>
      </c>
      <c r="G2" s="72">
        <v>0.183</v>
      </c>
    </row>
    <row r="3" spans="1:7" hidden="1" x14ac:dyDescent="0.25">
      <c r="A3" s="68">
        <v>5.8447266538238534</v>
      </c>
      <c r="B3" s="69">
        <v>25</v>
      </c>
      <c r="C3" s="70" t="s">
        <v>3</v>
      </c>
      <c r="D3" s="71">
        <v>6.0039093424988636E-2</v>
      </c>
      <c r="E3" s="73">
        <v>7.943102014517002E-2</v>
      </c>
      <c r="F3" s="72">
        <v>0.61</v>
      </c>
      <c r="G3" s="72">
        <v>0.183</v>
      </c>
    </row>
    <row r="4" spans="1:7" hidden="1" x14ac:dyDescent="0.25">
      <c r="A4" s="68">
        <v>7.0136719845886244</v>
      </c>
      <c r="B4" s="69">
        <v>30</v>
      </c>
      <c r="C4" s="70" t="s">
        <v>3</v>
      </c>
      <c r="D4" s="71">
        <v>7.2046912109986358E-2</v>
      </c>
      <c r="E4" s="73">
        <v>9.5317224174204004E-2</v>
      </c>
      <c r="F4" s="72">
        <v>0.61</v>
      </c>
      <c r="G4" s="72">
        <v>0.183</v>
      </c>
    </row>
    <row r="5" spans="1:7" hidden="1" x14ac:dyDescent="0.25">
      <c r="A5" s="68">
        <v>8.1826173153533954</v>
      </c>
      <c r="B5" s="69">
        <v>35</v>
      </c>
      <c r="C5" s="70" t="s">
        <v>3</v>
      </c>
      <c r="D5" s="71">
        <v>8.4054730794984087E-2</v>
      </c>
      <c r="E5" s="73">
        <v>0.111203428203238</v>
      </c>
      <c r="F5" s="72">
        <v>0.61</v>
      </c>
      <c r="G5" s="72">
        <v>0.183</v>
      </c>
    </row>
    <row r="6" spans="1:7" hidden="1" x14ac:dyDescent="0.25">
      <c r="A6" s="68">
        <v>9.3515626461181647</v>
      </c>
      <c r="B6" s="69">
        <v>40</v>
      </c>
      <c r="C6" s="70" t="s">
        <v>3</v>
      </c>
      <c r="D6" s="71">
        <v>9.6062549479981815E-2</v>
      </c>
      <c r="E6" s="73">
        <v>0.12708963223227199</v>
      </c>
      <c r="F6" s="72">
        <v>0.61</v>
      </c>
      <c r="G6" s="72">
        <v>0.183</v>
      </c>
    </row>
    <row r="7" spans="1:7" hidden="1" x14ac:dyDescent="0.25">
      <c r="A7" s="74">
        <v>9.6831875448755227</v>
      </c>
      <c r="B7" s="75">
        <v>20</v>
      </c>
      <c r="C7" s="76" t="s">
        <v>182</v>
      </c>
      <c r="D7" s="77">
        <v>0.16582986056660684</v>
      </c>
      <c r="E7" s="35">
        <v>0.21939097084791426</v>
      </c>
      <c r="F7" s="34">
        <v>0.61</v>
      </c>
      <c r="G7" s="34">
        <v>0.183</v>
      </c>
    </row>
    <row r="8" spans="1:7" hidden="1" x14ac:dyDescent="0.25">
      <c r="A8" s="74">
        <v>12.103984431094403</v>
      </c>
      <c r="B8" s="75">
        <v>25</v>
      </c>
      <c r="C8" s="76" t="s">
        <v>182</v>
      </c>
      <c r="D8" s="77">
        <v>0.20728732570825856</v>
      </c>
      <c r="E8" s="35">
        <v>0.27423871355989282</v>
      </c>
      <c r="F8" s="34">
        <v>0.61</v>
      </c>
      <c r="G8" s="34">
        <v>0.183</v>
      </c>
    </row>
    <row r="9" spans="1:7" hidden="1" x14ac:dyDescent="0.25">
      <c r="A9" s="74">
        <v>14.524781317313284</v>
      </c>
      <c r="B9" s="75">
        <v>30</v>
      </c>
      <c r="C9" s="76" t="s">
        <v>182</v>
      </c>
      <c r="D9" s="77">
        <v>0.24874479084991025</v>
      </c>
      <c r="E9" s="35">
        <v>0.32908645627187133</v>
      </c>
      <c r="F9" s="34">
        <v>0.61</v>
      </c>
      <c r="G9" s="34">
        <v>0.183</v>
      </c>
    </row>
    <row r="10" spans="1:7" hidden="1" x14ac:dyDescent="0.25">
      <c r="A10" s="74">
        <v>16.945578203532165</v>
      </c>
      <c r="B10" s="75">
        <v>35</v>
      </c>
      <c r="C10" s="76" t="s">
        <v>182</v>
      </c>
      <c r="D10" s="77">
        <v>0.29020225599156196</v>
      </c>
      <c r="E10" s="35">
        <v>0.38393419898384989</v>
      </c>
      <c r="F10" s="34">
        <v>0.61</v>
      </c>
      <c r="G10" s="34">
        <v>0.183</v>
      </c>
    </row>
    <row r="11" spans="1:7" hidden="1" x14ac:dyDescent="0.25">
      <c r="A11" s="74">
        <v>19.366375089751045</v>
      </c>
      <c r="B11" s="75">
        <v>40</v>
      </c>
      <c r="C11" s="76" t="s">
        <v>182</v>
      </c>
      <c r="D11" s="77">
        <v>0.33165972113321368</v>
      </c>
      <c r="E11" s="35">
        <v>0.43878194169582851</v>
      </c>
      <c r="F11" s="34">
        <v>0.61</v>
      </c>
      <c r="G11" s="34">
        <v>0.183</v>
      </c>
    </row>
    <row r="12" spans="1:7" hidden="1" x14ac:dyDescent="0.25">
      <c r="A12" s="68">
        <v>3.2433940172353957</v>
      </c>
      <c r="B12" s="69">
        <v>20</v>
      </c>
      <c r="C12" s="70" t="s">
        <v>4</v>
      </c>
      <c r="D12" s="71">
        <v>1.3848916202570057E-2</v>
      </c>
      <c r="E12" s="73">
        <v>3.0548862620709202E-2</v>
      </c>
      <c r="F12" s="72">
        <v>0.8</v>
      </c>
      <c r="G12" s="72">
        <v>0.504</v>
      </c>
    </row>
    <row r="13" spans="1:7" hidden="1" x14ac:dyDescent="0.25">
      <c r="A13" s="68">
        <v>4.0542425215442446</v>
      </c>
      <c r="B13" s="69">
        <v>25</v>
      </c>
      <c r="C13" s="70" t="s">
        <v>4</v>
      </c>
      <c r="D13" s="71">
        <v>1.7311145253212572E-2</v>
      </c>
      <c r="E13" s="73">
        <v>3.8186078275886506E-2</v>
      </c>
      <c r="F13" s="72">
        <v>0.8</v>
      </c>
      <c r="G13" s="72">
        <v>0.504</v>
      </c>
    </row>
    <row r="14" spans="1:7" hidden="1" x14ac:dyDescent="0.25">
      <c r="A14" s="68">
        <v>4.8650910258530935</v>
      </c>
      <c r="B14" s="69">
        <v>30</v>
      </c>
      <c r="C14" s="70" t="s">
        <v>4</v>
      </c>
      <c r="D14" s="71">
        <v>2.0773374303855088E-2</v>
      </c>
      <c r="E14" s="73">
        <v>4.582329393106381E-2</v>
      </c>
      <c r="F14" s="72">
        <v>0.8</v>
      </c>
      <c r="G14" s="72">
        <v>0.504</v>
      </c>
    </row>
    <row r="15" spans="1:7" hidden="1" x14ac:dyDescent="0.25">
      <c r="A15" s="68">
        <v>5.6759395301619424</v>
      </c>
      <c r="B15" s="69">
        <v>35</v>
      </c>
      <c r="C15" s="70" t="s">
        <v>4</v>
      </c>
      <c r="D15" s="71">
        <v>2.4235603354497599E-2</v>
      </c>
      <c r="E15" s="73">
        <v>5.3460509586241108E-2</v>
      </c>
      <c r="F15" s="72">
        <v>0.8</v>
      </c>
      <c r="G15" s="72">
        <v>0.504</v>
      </c>
    </row>
    <row r="16" spans="1:7" hidden="1" x14ac:dyDescent="0.25">
      <c r="A16" s="68">
        <v>6.4867880344707913</v>
      </c>
      <c r="B16" s="69">
        <v>40</v>
      </c>
      <c r="C16" s="70" t="s">
        <v>4</v>
      </c>
      <c r="D16" s="71">
        <v>2.7697832405140115E-2</v>
      </c>
      <c r="E16" s="73">
        <v>6.1097725241418405E-2</v>
      </c>
      <c r="F16" s="72">
        <v>0.8</v>
      </c>
      <c r="G16" s="72">
        <v>0.504</v>
      </c>
    </row>
    <row r="17" spans="1:7" hidden="1" x14ac:dyDescent="0.25">
      <c r="A17" s="74">
        <v>10.356416058658741</v>
      </c>
      <c r="B17" s="75">
        <v>20</v>
      </c>
      <c r="C17" s="76" t="s">
        <v>156</v>
      </c>
      <c r="D17" s="77">
        <v>5.0088755536270436E-2</v>
      </c>
      <c r="E17" s="35">
        <v>0.14975536130234138</v>
      </c>
      <c r="F17" s="34">
        <v>0.9</v>
      </c>
      <c r="G17" s="34">
        <v>0.81200000000000006</v>
      </c>
    </row>
    <row r="18" spans="1:7" hidden="1" x14ac:dyDescent="0.25">
      <c r="A18" s="74">
        <v>12.945520073323427</v>
      </c>
      <c r="B18" s="75">
        <v>25</v>
      </c>
      <c r="C18" s="76" t="s">
        <v>156</v>
      </c>
      <c r="D18" s="77">
        <v>6.2610944420338044E-2</v>
      </c>
      <c r="E18" s="35">
        <v>0.18719420162792669</v>
      </c>
      <c r="F18" s="34">
        <v>0.9</v>
      </c>
      <c r="G18" s="34">
        <v>0.81200000000000006</v>
      </c>
    </row>
    <row r="19" spans="1:7" hidden="1" x14ac:dyDescent="0.25">
      <c r="A19" s="74">
        <v>15.534624087988112</v>
      </c>
      <c r="B19" s="75">
        <v>30</v>
      </c>
      <c r="C19" s="76" t="s">
        <v>156</v>
      </c>
      <c r="D19" s="77">
        <v>7.5133133304405658E-2</v>
      </c>
      <c r="E19" s="35">
        <v>0.22463304195351205</v>
      </c>
      <c r="F19" s="34">
        <v>0.9</v>
      </c>
      <c r="G19" s="34">
        <v>0.81200000000000006</v>
      </c>
    </row>
    <row r="20" spans="1:7" hidden="1" x14ac:dyDescent="0.25">
      <c r="A20" s="74">
        <v>18.123728102652798</v>
      </c>
      <c r="B20" s="75">
        <v>35</v>
      </c>
      <c r="C20" s="76" t="s">
        <v>156</v>
      </c>
      <c r="D20" s="77">
        <v>8.7655322188473273E-2</v>
      </c>
      <c r="E20" s="35">
        <v>0.26207188227909739</v>
      </c>
      <c r="F20" s="34">
        <v>0.9</v>
      </c>
      <c r="G20" s="34">
        <v>0.81200000000000006</v>
      </c>
    </row>
    <row r="21" spans="1:7" hidden="1" x14ac:dyDescent="0.25">
      <c r="A21" s="74">
        <v>20.712832117317483</v>
      </c>
      <c r="B21" s="75">
        <v>40</v>
      </c>
      <c r="C21" s="76" t="s">
        <v>156</v>
      </c>
      <c r="D21" s="77">
        <v>0.10017751107254087</v>
      </c>
      <c r="E21" s="35">
        <v>0.29951072260468276</v>
      </c>
      <c r="F21" s="34">
        <v>0.9</v>
      </c>
      <c r="G21" s="34">
        <v>0.81200000000000006</v>
      </c>
    </row>
    <row r="22" spans="1:7" hidden="1" x14ac:dyDescent="0.25">
      <c r="A22" s="68">
        <v>10.060868252930229</v>
      </c>
      <c r="B22" s="69">
        <v>20</v>
      </c>
      <c r="C22" s="70" t="s">
        <v>0</v>
      </c>
      <c r="D22" s="71">
        <v>3.1447806237851809E-2</v>
      </c>
      <c r="E22" s="73">
        <v>6.4771159639729098E-2</v>
      </c>
      <c r="F22" s="72">
        <v>0.62</v>
      </c>
      <c r="G22" s="72">
        <v>0.81200000000000006</v>
      </c>
    </row>
    <row r="23" spans="1:7" hidden="1" x14ac:dyDescent="0.25">
      <c r="A23" s="68">
        <v>12.576085316162786</v>
      </c>
      <c r="B23" s="69">
        <v>25</v>
      </c>
      <c r="C23" s="70" t="s">
        <v>0</v>
      </c>
      <c r="D23" s="71">
        <v>3.9309757797314764E-2</v>
      </c>
      <c r="E23" s="73">
        <v>8.0963949549661379E-2</v>
      </c>
      <c r="F23" s="72">
        <v>0.62</v>
      </c>
      <c r="G23" s="72">
        <v>0.81200000000000006</v>
      </c>
    </row>
    <row r="24" spans="1:7" hidden="1" x14ac:dyDescent="0.25">
      <c r="A24" s="68">
        <v>15.091302379395342</v>
      </c>
      <c r="B24" s="69">
        <v>30</v>
      </c>
      <c r="C24" s="70" t="s">
        <v>0</v>
      </c>
      <c r="D24" s="71">
        <v>4.7171709356777711E-2</v>
      </c>
      <c r="E24" s="73">
        <v>9.7156739459593647E-2</v>
      </c>
      <c r="F24" s="72">
        <v>0.62</v>
      </c>
      <c r="G24" s="72">
        <v>0.81200000000000006</v>
      </c>
    </row>
    <row r="25" spans="1:7" hidden="1" x14ac:dyDescent="0.25">
      <c r="A25" s="68">
        <v>17.606519442627899</v>
      </c>
      <c r="B25" s="69">
        <v>35</v>
      </c>
      <c r="C25" s="70" t="s">
        <v>0</v>
      </c>
      <c r="D25" s="71">
        <v>5.5033660916240665E-2</v>
      </c>
      <c r="E25" s="73">
        <v>0.11334952936952593</v>
      </c>
      <c r="F25" s="72">
        <v>0.62</v>
      </c>
      <c r="G25" s="72">
        <v>0.81200000000000006</v>
      </c>
    </row>
    <row r="26" spans="1:7" hidden="1" x14ac:dyDescent="0.25">
      <c r="A26" s="68">
        <v>20.121736505860458</v>
      </c>
      <c r="B26" s="69">
        <v>40</v>
      </c>
      <c r="C26" s="70" t="s">
        <v>0</v>
      </c>
      <c r="D26" s="71">
        <v>6.2895612475703619E-2</v>
      </c>
      <c r="E26" s="73">
        <v>0.1295423192794582</v>
      </c>
      <c r="F26" s="72">
        <v>0.62</v>
      </c>
      <c r="G26" s="72">
        <v>0.81200000000000006</v>
      </c>
    </row>
    <row r="27" spans="1:7" hidden="1" x14ac:dyDescent="0.25">
      <c r="A27" s="74">
        <v>10.060868252930229</v>
      </c>
      <c r="B27" s="75">
        <v>20</v>
      </c>
      <c r="C27" s="76" t="s">
        <v>202</v>
      </c>
      <c r="D27" s="77">
        <v>3.0717644461124231E-2</v>
      </c>
      <c r="E27" s="35">
        <v>5.9604517312365456E-2</v>
      </c>
      <c r="F27" s="34">
        <v>0.8</v>
      </c>
      <c r="G27" s="34">
        <v>0.32300000000000001</v>
      </c>
    </row>
    <row r="28" spans="1:7" hidden="1" x14ac:dyDescent="0.25">
      <c r="A28" s="74">
        <v>12.576085316162786</v>
      </c>
      <c r="B28" s="75">
        <v>25</v>
      </c>
      <c r="C28" s="76" t="s">
        <v>202</v>
      </c>
      <c r="D28" s="77">
        <v>3.8397055576405291E-2</v>
      </c>
      <c r="E28" s="35">
        <v>7.4505646640456821E-2</v>
      </c>
      <c r="F28" s="34">
        <v>0.8</v>
      </c>
      <c r="G28" s="34">
        <v>0.32300000000000001</v>
      </c>
    </row>
    <row r="29" spans="1:7" hidden="1" x14ac:dyDescent="0.25">
      <c r="A29" s="74">
        <v>15.091302379395342</v>
      </c>
      <c r="B29" s="75">
        <v>30</v>
      </c>
      <c r="C29" s="76" t="s">
        <v>202</v>
      </c>
      <c r="D29" s="77">
        <v>4.6076466691686351E-2</v>
      </c>
      <c r="E29" s="35">
        <v>8.9406775968548208E-2</v>
      </c>
      <c r="F29" s="34">
        <v>0.8</v>
      </c>
      <c r="G29" s="34">
        <v>0.32300000000000001</v>
      </c>
    </row>
    <row r="30" spans="1:7" hidden="1" x14ac:dyDescent="0.25">
      <c r="A30" s="74">
        <v>17.606519442627899</v>
      </c>
      <c r="B30" s="75">
        <v>35</v>
      </c>
      <c r="C30" s="76" t="s">
        <v>202</v>
      </c>
      <c r="D30" s="77">
        <v>5.375587780696741E-2</v>
      </c>
      <c r="E30" s="35">
        <v>0.10430790529663955</v>
      </c>
      <c r="F30" s="34">
        <v>0.8</v>
      </c>
      <c r="G30" s="34">
        <v>0.32300000000000001</v>
      </c>
    </row>
    <row r="31" spans="1:7" hidden="1" x14ac:dyDescent="0.25">
      <c r="A31" s="74">
        <v>20.121736505860458</v>
      </c>
      <c r="B31" s="75">
        <v>40</v>
      </c>
      <c r="C31" s="76" t="s">
        <v>202</v>
      </c>
      <c r="D31" s="77">
        <v>6.1435288922248463E-2</v>
      </c>
      <c r="E31" s="35">
        <v>0.11920903462473091</v>
      </c>
      <c r="F31" s="34">
        <v>0.8</v>
      </c>
      <c r="G31" s="34">
        <v>0.32300000000000001</v>
      </c>
    </row>
    <row r="32" spans="1:7" hidden="1" x14ac:dyDescent="0.25">
      <c r="A32" s="68">
        <v>9.5838225076071595</v>
      </c>
      <c r="B32" s="69">
        <v>20</v>
      </c>
      <c r="C32" s="70" t="s">
        <v>2</v>
      </c>
      <c r="D32" s="71">
        <v>3.0940271672411278E-2</v>
      </c>
      <c r="E32" s="73">
        <v>6.2278228970051946E-2</v>
      </c>
      <c r="F32" s="72">
        <v>0.73</v>
      </c>
      <c r="G32" s="72">
        <v>0.504</v>
      </c>
    </row>
    <row r="33" spans="1:7" hidden="1" x14ac:dyDescent="0.25">
      <c r="A33" s="68">
        <v>11.979778134508951</v>
      </c>
      <c r="B33" s="69">
        <v>25</v>
      </c>
      <c r="C33" s="70" t="s">
        <v>2</v>
      </c>
      <c r="D33" s="71">
        <v>3.8675339590514099E-2</v>
      </c>
      <c r="E33" s="73">
        <v>7.784778621256494E-2</v>
      </c>
      <c r="F33" s="72">
        <v>0.73</v>
      </c>
      <c r="G33" s="72">
        <v>0.504</v>
      </c>
    </row>
    <row r="34" spans="1:7" hidden="1" x14ac:dyDescent="0.25">
      <c r="A34" s="68">
        <v>14.375733761410741</v>
      </c>
      <c r="B34" s="69">
        <v>30</v>
      </c>
      <c r="C34" s="70" t="s">
        <v>2</v>
      </c>
      <c r="D34" s="71">
        <v>4.6410407508616913E-2</v>
      </c>
      <c r="E34" s="73">
        <v>9.3417343455077906E-2</v>
      </c>
      <c r="F34" s="72">
        <v>0.73</v>
      </c>
      <c r="G34" s="72">
        <v>0.504</v>
      </c>
    </row>
    <row r="35" spans="1:7" hidden="1" x14ac:dyDescent="0.25">
      <c r="A35" s="68">
        <v>16.771689388312531</v>
      </c>
      <c r="B35" s="69">
        <v>35</v>
      </c>
      <c r="C35" s="70" t="s">
        <v>2</v>
      </c>
      <c r="D35" s="71">
        <v>5.4145475426719734E-2</v>
      </c>
      <c r="E35" s="73">
        <v>0.1089869006975909</v>
      </c>
      <c r="F35" s="72">
        <v>0.73</v>
      </c>
      <c r="G35" s="72">
        <v>0.504</v>
      </c>
    </row>
    <row r="36" spans="1:7" hidden="1" x14ac:dyDescent="0.25">
      <c r="A36" s="68">
        <v>19.167645015214319</v>
      </c>
      <c r="B36" s="69">
        <v>40</v>
      </c>
      <c r="C36" s="70" t="s">
        <v>2</v>
      </c>
      <c r="D36" s="71">
        <v>6.1880543344822556E-2</v>
      </c>
      <c r="E36" s="73">
        <v>0.12455645794010389</v>
      </c>
      <c r="F36" s="72">
        <v>0.73</v>
      </c>
      <c r="G36" s="72">
        <v>0.504</v>
      </c>
    </row>
    <row r="37" spans="1:7" hidden="1" x14ac:dyDescent="0.25">
      <c r="A37" s="74">
        <v>12.029713392078435</v>
      </c>
      <c r="B37" s="75">
        <v>20</v>
      </c>
      <c r="C37" s="76" t="s">
        <v>10</v>
      </c>
      <c r="D37" s="77">
        <v>5.1085313145785793E-2</v>
      </c>
      <c r="E37" s="35">
        <v>0.1241181539518298</v>
      </c>
      <c r="F37" s="34">
        <v>0.75</v>
      </c>
      <c r="G37" s="34">
        <v>0.76700000000000002</v>
      </c>
    </row>
    <row r="38" spans="1:7" hidden="1" x14ac:dyDescent="0.25">
      <c r="A38" s="74">
        <v>15.037141740098042</v>
      </c>
      <c r="B38" s="75">
        <v>25</v>
      </c>
      <c r="C38" s="76" t="s">
        <v>10</v>
      </c>
      <c r="D38" s="77">
        <v>6.3856641432232242E-2</v>
      </c>
      <c r="E38" s="35">
        <v>0.15514769243978724</v>
      </c>
      <c r="F38" s="34">
        <v>0.75</v>
      </c>
      <c r="G38" s="34">
        <v>0.76700000000000002</v>
      </c>
    </row>
    <row r="39" spans="1:7" hidden="1" x14ac:dyDescent="0.25">
      <c r="A39" s="74">
        <v>18.044570088117652</v>
      </c>
      <c r="B39" s="75">
        <v>30</v>
      </c>
      <c r="C39" s="76" t="s">
        <v>10</v>
      </c>
      <c r="D39" s="77">
        <v>7.662796971867869E-2</v>
      </c>
      <c r="E39" s="35">
        <v>0.18617723092774471</v>
      </c>
      <c r="F39" s="34">
        <v>0.75</v>
      </c>
      <c r="G39" s="34">
        <v>0.76700000000000002</v>
      </c>
    </row>
    <row r="40" spans="1:7" hidden="1" x14ac:dyDescent="0.25">
      <c r="A40" s="74">
        <v>21.051998436137261</v>
      </c>
      <c r="B40" s="75">
        <v>35</v>
      </c>
      <c r="C40" s="76" t="s">
        <v>10</v>
      </c>
      <c r="D40" s="77">
        <v>8.9399298005125138E-2</v>
      </c>
      <c r="E40" s="35">
        <v>0.21720676941570213</v>
      </c>
      <c r="F40" s="34">
        <v>0.75</v>
      </c>
      <c r="G40" s="34">
        <v>0.76700000000000002</v>
      </c>
    </row>
    <row r="41" spans="1:7" hidden="1" x14ac:dyDescent="0.25">
      <c r="A41" s="74">
        <v>24.059426784156869</v>
      </c>
      <c r="B41" s="75">
        <v>40</v>
      </c>
      <c r="C41" s="76" t="s">
        <v>10</v>
      </c>
      <c r="D41" s="77">
        <v>0.10217062629157159</v>
      </c>
      <c r="E41" s="35">
        <v>0.24823630790365961</v>
      </c>
      <c r="F41" s="34">
        <v>0.75</v>
      </c>
      <c r="G41" s="34">
        <v>0.76700000000000002</v>
      </c>
    </row>
    <row r="42" spans="1:7" hidden="1" x14ac:dyDescent="0.25">
      <c r="A42" s="68">
        <v>7.0852640677918064</v>
      </c>
      <c r="B42" s="69">
        <v>20</v>
      </c>
      <c r="C42" s="70" t="s">
        <v>172</v>
      </c>
      <c r="D42" s="71">
        <v>1.4595690686994803E-2</v>
      </c>
      <c r="E42" s="73">
        <v>6.1960458449175387E-2</v>
      </c>
      <c r="F42" s="72">
        <v>1.28</v>
      </c>
      <c r="G42" s="72">
        <v>0.80900000000000005</v>
      </c>
    </row>
    <row r="43" spans="1:7" hidden="1" x14ac:dyDescent="0.25">
      <c r="A43" s="68">
        <v>8.8565800847397576</v>
      </c>
      <c r="B43" s="69">
        <v>25</v>
      </c>
      <c r="C43" s="70" t="s">
        <v>172</v>
      </c>
      <c r="D43" s="71">
        <v>1.8244613358743503E-2</v>
      </c>
      <c r="E43" s="73">
        <v>7.7450573061469213E-2</v>
      </c>
      <c r="F43" s="72">
        <v>1.28</v>
      </c>
      <c r="G43" s="72">
        <v>0.80900000000000005</v>
      </c>
    </row>
    <row r="44" spans="1:7" hidden="1" x14ac:dyDescent="0.25">
      <c r="A44" s="68">
        <v>10.62789610168771</v>
      </c>
      <c r="B44" s="69">
        <v>30</v>
      </c>
      <c r="C44" s="70" t="s">
        <v>172</v>
      </c>
      <c r="D44" s="71">
        <v>2.1893536030492204E-2</v>
      </c>
      <c r="E44" s="73">
        <v>9.2940687673763067E-2</v>
      </c>
      <c r="F44" s="72">
        <v>1.28</v>
      </c>
      <c r="G44" s="72">
        <v>0.80900000000000005</v>
      </c>
    </row>
    <row r="45" spans="1:7" hidden="1" x14ac:dyDescent="0.25">
      <c r="A45" s="68">
        <v>12.399212118635662</v>
      </c>
      <c r="B45" s="69">
        <v>35</v>
      </c>
      <c r="C45" s="70" t="s">
        <v>172</v>
      </c>
      <c r="D45" s="71">
        <v>2.5542458702240905E-2</v>
      </c>
      <c r="E45" s="73">
        <v>0.10843080228605692</v>
      </c>
      <c r="F45" s="72">
        <v>1.28</v>
      </c>
      <c r="G45" s="72">
        <v>0.80900000000000005</v>
      </c>
    </row>
    <row r="46" spans="1:7" hidden="1" x14ac:dyDescent="0.25">
      <c r="A46" s="68">
        <v>14.170528135583613</v>
      </c>
      <c r="B46" s="69">
        <v>40</v>
      </c>
      <c r="C46" s="70" t="s">
        <v>172</v>
      </c>
      <c r="D46" s="71">
        <v>2.9191381373989606E-2</v>
      </c>
      <c r="E46" s="73">
        <v>0.12392091689835077</v>
      </c>
      <c r="F46" s="72">
        <v>1.28</v>
      </c>
      <c r="G46" s="72">
        <v>0.80900000000000005</v>
      </c>
    </row>
    <row r="47" spans="1:7" hidden="1" x14ac:dyDescent="0.25">
      <c r="A47" s="74">
        <v>3.2433940172353957</v>
      </c>
      <c r="B47" s="75">
        <v>20</v>
      </c>
      <c r="C47" s="76" t="s">
        <v>13</v>
      </c>
      <c r="D47" s="77">
        <v>7.0330285525162482E-3</v>
      </c>
      <c r="E47" s="35">
        <v>7.2902029632532592E-3</v>
      </c>
      <c r="F47" s="34">
        <v>0.44</v>
      </c>
      <c r="G47" s="34">
        <v>0.28499999999999998</v>
      </c>
    </row>
    <row r="48" spans="1:7" hidden="1" x14ac:dyDescent="0.25">
      <c r="A48" s="74">
        <v>4.0542425215442446</v>
      </c>
      <c r="B48" s="75">
        <v>25</v>
      </c>
      <c r="C48" s="76" t="s">
        <v>13</v>
      </c>
      <c r="D48" s="77">
        <v>8.7912856906453094E-3</v>
      </c>
      <c r="E48" s="35">
        <v>9.1127537040665719E-3</v>
      </c>
      <c r="F48" s="34">
        <v>0.44</v>
      </c>
      <c r="G48" s="34">
        <v>0.28499999999999998</v>
      </c>
    </row>
    <row r="49" spans="1:7" hidden="1" x14ac:dyDescent="0.25">
      <c r="A49" s="74">
        <v>4.8650910258530935</v>
      </c>
      <c r="B49" s="75">
        <v>30</v>
      </c>
      <c r="C49" s="76" t="s">
        <v>13</v>
      </c>
      <c r="D49" s="77">
        <v>1.0549542828774372E-2</v>
      </c>
      <c r="E49" s="35">
        <v>1.0935304444879886E-2</v>
      </c>
      <c r="F49" s="34">
        <v>0.44</v>
      </c>
      <c r="G49" s="34">
        <v>0.28499999999999998</v>
      </c>
    </row>
    <row r="50" spans="1:7" hidden="1" x14ac:dyDescent="0.25">
      <c r="A50" s="74">
        <v>5.6759395301619424</v>
      </c>
      <c r="B50" s="75">
        <v>35</v>
      </c>
      <c r="C50" s="76" t="s">
        <v>13</v>
      </c>
      <c r="D50" s="77">
        <v>1.2307799966903434E-2</v>
      </c>
      <c r="E50" s="35">
        <v>1.2757855185693201E-2</v>
      </c>
      <c r="F50" s="34">
        <v>0.44</v>
      </c>
      <c r="G50" s="34">
        <v>0.28499999999999998</v>
      </c>
    </row>
    <row r="51" spans="1:7" hidden="1" x14ac:dyDescent="0.25">
      <c r="A51" s="74">
        <v>6.4867880344707913</v>
      </c>
      <c r="B51" s="75">
        <v>40</v>
      </c>
      <c r="C51" s="76" t="s">
        <v>13</v>
      </c>
      <c r="D51" s="77">
        <v>1.4066057105032496E-2</v>
      </c>
      <c r="E51" s="35">
        <v>1.4580405926506518E-2</v>
      </c>
      <c r="F51" s="34">
        <v>0.44</v>
      </c>
      <c r="G51" s="34">
        <v>0.28499999999999998</v>
      </c>
    </row>
    <row r="52" spans="1:7" hidden="1" x14ac:dyDescent="0.25">
      <c r="A52" s="68">
        <v>9.5838225076071595</v>
      </c>
      <c r="B52" s="69">
        <v>20</v>
      </c>
      <c r="C52" s="70" t="s">
        <v>15</v>
      </c>
      <c r="D52" s="71">
        <v>3.5519916783877857E-2</v>
      </c>
      <c r="E52" s="73">
        <v>7.8352200436330038E-2</v>
      </c>
      <c r="F52" s="72">
        <v>0.8</v>
      </c>
      <c r="G52" s="72">
        <v>0.504</v>
      </c>
    </row>
    <row r="53" spans="1:7" hidden="1" x14ac:dyDescent="0.25">
      <c r="A53" s="68">
        <v>11.979778134508951</v>
      </c>
      <c r="B53" s="69">
        <v>25</v>
      </c>
      <c r="C53" s="70" t="s">
        <v>15</v>
      </c>
      <c r="D53" s="71">
        <v>4.4399895979847323E-2</v>
      </c>
      <c r="E53" s="73">
        <v>9.7940250545412541E-2</v>
      </c>
      <c r="F53" s="72">
        <v>0.8</v>
      </c>
      <c r="G53" s="72">
        <v>0.504</v>
      </c>
    </row>
    <row r="54" spans="1:7" hidden="1" x14ac:dyDescent="0.25">
      <c r="A54" s="68">
        <v>14.375733761410741</v>
      </c>
      <c r="B54" s="69">
        <v>30</v>
      </c>
      <c r="C54" s="70" t="s">
        <v>15</v>
      </c>
      <c r="D54" s="71">
        <v>5.3279875175816782E-2</v>
      </c>
      <c r="E54" s="73">
        <v>0.11752830065449504</v>
      </c>
      <c r="F54" s="72">
        <v>0.8</v>
      </c>
      <c r="G54" s="72">
        <v>0.504</v>
      </c>
    </row>
    <row r="55" spans="1:7" hidden="1" x14ac:dyDescent="0.25">
      <c r="A55" s="68">
        <v>16.771689388312531</v>
      </c>
      <c r="B55" s="69">
        <v>35</v>
      </c>
      <c r="C55" s="70" t="s">
        <v>15</v>
      </c>
      <c r="D55" s="71">
        <v>6.2159854371786248E-2</v>
      </c>
      <c r="E55" s="73">
        <v>0.13711635076357756</v>
      </c>
      <c r="F55" s="72">
        <v>0.8</v>
      </c>
      <c r="G55" s="72">
        <v>0.504</v>
      </c>
    </row>
    <row r="56" spans="1:7" hidden="1" x14ac:dyDescent="0.25">
      <c r="A56" s="68">
        <v>19.167645015214319</v>
      </c>
      <c r="B56" s="69">
        <v>40</v>
      </c>
      <c r="C56" s="70" t="s">
        <v>15</v>
      </c>
      <c r="D56" s="71">
        <v>7.1039833567755714E-2</v>
      </c>
      <c r="E56" s="73">
        <v>0.15670440087266008</v>
      </c>
      <c r="F56" s="72">
        <v>0.8</v>
      </c>
      <c r="G56" s="72">
        <v>0.504</v>
      </c>
    </row>
    <row r="57" spans="1:7" hidden="1" x14ac:dyDescent="0.25">
      <c r="A57" s="74">
        <v>21.77949351787824</v>
      </c>
      <c r="B57" s="75">
        <v>20</v>
      </c>
      <c r="C57" s="76" t="s">
        <v>17</v>
      </c>
      <c r="D57" s="77">
        <v>0.13780596631208833</v>
      </c>
      <c r="E57" s="35">
        <v>0.26739869703197616</v>
      </c>
      <c r="F57" s="34">
        <v>0.8</v>
      </c>
      <c r="G57" s="34">
        <v>0.32300000000000001</v>
      </c>
    </row>
    <row r="58" spans="1:7" hidden="1" x14ac:dyDescent="0.25">
      <c r="A58" s="74">
        <v>22.899854356926291</v>
      </c>
      <c r="B58" s="75">
        <v>25</v>
      </c>
      <c r="C58" s="76" t="s">
        <v>17</v>
      </c>
      <c r="D58" s="77">
        <v>0.23625044309191207</v>
      </c>
      <c r="E58" s="35">
        <v>0.45842035977554618</v>
      </c>
      <c r="F58" s="34">
        <v>0.8</v>
      </c>
      <c r="G58" s="34">
        <v>0.32300000000000001</v>
      </c>
    </row>
    <row r="59" spans="1:7" hidden="1" x14ac:dyDescent="0.25">
      <c r="A59" s="74">
        <v>32.716421072802603</v>
      </c>
      <c r="B59" s="75">
        <v>30</v>
      </c>
      <c r="C59" s="76" t="s">
        <v>17</v>
      </c>
      <c r="D59" s="77">
        <v>0.31672869557299338</v>
      </c>
      <c r="E59" s="35">
        <v>0.61458036088983636</v>
      </c>
      <c r="F59" s="34">
        <v>0.8</v>
      </c>
      <c r="G59" s="34">
        <v>0.32300000000000001</v>
      </c>
    </row>
    <row r="60" spans="1:7" hidden="1" x14ac:dyDescent="0.25">
      <c r="A60" s="74">
        <v>37.842747167200073</v>
      </c>
      <c r="B60" s="75">
        <v>35</v>
      </c>
      <c r="C60" s="76" t="s">
        <v>17</v>
      </c>
      <c r="D60" s="77">
        <v>0.46409651535326579</v>
      </c>
      <c r="E60" s="35">
        <v>0.900532878391477</v>
      </c>
      <c r="F60" s="34">
        <v>0.8</v>
      </c>
      <c r="G60" s="34">
        <v>0.32300000000000001</v>
      </c>
    </row>
    <row r="61" spans="1:7" hidden="1" x14ac:dyDescent="0.25">
      <c r="A61" s="74">
        <v>42.736691527154122</v>
      </c>
      <c r="B61" s="75">
        <v>40</v>
      </c>
      <c r="C61" s="76" t="s">
        <v>17</v>
      </c>
      <c r="D61" s="77">
        <v>0.54009296361673664</v>
      </c>
      <c r="E61" s="35">
        <v>1.0479963866019157</v>
      </c>
      <c r="F61" s="34">
        <v>0.8</v>
      </c>
      <c r="G61" s="34">
        <v>0.32300000000000001</v>
      </c>
    </row>
    <row r="62" spans="1:7" hidden="1" x14ac:dyDescent="0.25">
      <c r="A62" s="68">
        <v>10.060868252930229</v>
      </c>
      <c r="B62" s="69">
        <v>20</v>
      </c>
      <c r="C62" s="70" t="s">
        <v>21</v>
      </c>
      <c r="D62" s="71">
        <v>2.1782229937322616E-2</v>
      </c>
      <c r="E62" s="73">
        <v>4.2905184381875593E-2</v>
      </c>
      <c r="F62" s="72">
        <v>0.8</v>
      </c>
      <c r="G62" s="72">
        <v>0.34300000000000003</v>
      </c>
    </row>
    <row r="63" spans="1:7" hidden="1" x14ac:dyDescent="0.25">
      <c r="A63" s="68">
        <v>14.045022724846767</v>
      </c>
      <c r="B63" s="69">
        <v>25</v>
      </c>
      <c r="C63" s="70" t="s">
        <v>21</v>
      </c>
      <c r="D63" s="71">
        <v>5.6877202471395945E-2</v>
      </c>
      <c r="E63" s="73">
        <v>0.11203292161465764</v>
      </c>
      <c r="F63" s="72">
        <v>0.8</v>
      </c>
      <c r="G63" s="72">
        <v>0.34300000000000003</v>
      </c>
    </row>
    <row r="64" spans="1:7" hidden="1" x14ac:dyDescent="0.25">
      <c r="A64" s="68">
        <v>17.94172527630257</v>
      </c>
      <c r="B64" s="69">
        <v>30</v>
      </c>
      <c r="C64" s="70" t="s">
        <v>21</v>
      </c>
      <c r="D64" s="71">
        <v>0.10415920175927618</v>
      </c>
      <c r="E64" s="73">
        <v>0.20516585167863827</v>
      </c>
      <c r="F64" s="72">
        <v>0.8</v>
      </c>
      <c r="G64" s="72">
        <v>0.34300000000000003</v>
      </c>
    </row>
    <row r="65" spans="1:7" hidden="1" x14ac:dyDescent="0.25">
      <c r="A65" s="68">
        <v>21.818136481794323</v>
      </c>
      <c r="B65" s="69">
        <v>35</v>
      </c>
      <c r="C65" s="70" t="s">
        <v>21</v>
      </c>
      <c r="D65" s="71">
        <v>0.17662290093811014</v>
      </c>
      <c r="E65" s="73">
        <v>0.34790001540782683</v>
      </c>
      <c r="F65" s="72">
        <v>0.8</v>
      </c>
      <c r="G65" s="72">
        <v>0.34300000000000003</v>
      </c>
    </row>
    <row r="66" spans="1:7" hidden="1" x14ac:dyDescent="0.25">
      <c r="A66" s="68">
        <v>24.935013122050655</v>
      </c>
      <c r="B66" s="69">
        <v>40</v>
      </c>
      <c r="C66" s="70" t="s">
        <v>21</v>
      </c>
      <c r="D66" s="71">
        <v>0.20185474392926872</v>
      </c>
      <c r="E66" s="73">
        <v>0.39760001760894487</v>
      </c>
      <c r="F66" s="72">
        <v>0.8</v>
      </c>
      <c r="G66" s="72">
        <v>0.34300000000000003</v>
      </c>
    </row>
    <row r="67" spans="1:7" hidden="1" x14ac:dyDescent="0.25">
      <c r="A67" s="74">
        <v>20.022024226649311</v>
      </c>
      <c r="B67" s="75">
        <v>20</v>
      </c>
      <c r="C67" s="76" t="s">
        <v>22</v>
      </c>
      <c r="D67" s="77">
        <v>0.15392749325002175</v>
      </c>
      <c r="E67" s="35">
        <v>0.40481930196049593</v>
      </c>
      <c r="F67" s="34">
        <v>0.81</v>
      </c>
      <c r="G67" s="34">
        <v>0.77100000000000002</v>
      </c>
    </row>
    <row r="68" spans="1:7" hidden="1" x14ac:dyDescent="0.25">
      <c r="A68" s="74">
        <v>27.228864048097069</v>
      </c>
      <c r="B68" s="75">
        <v>25</v>
      </c>
      <c r="C68" s="76" t="s">
        <v>22</v>
      </c>
      <c r="D68" s="77">
        <v>0.37893651576316562</v>
      </c>
      <c r="E68" s="35">
        <v>0.99657840558360089</v>
      </c>
      <c r="F68" s="34">
        <v>0.81</v>
      </c>
      <c r="G68" s="34">
        <v>0.77100000000000002</v>
      </c>
    </row>
    <row r="69" spans="1:7" hidden="1" x14ac:dyDescent="0.25">
      <c r="A69" s="74">
        <v>33.630374954659047</v>
      </c>
      <c r="B69" s="75">
        <v>30</v>
      </c>
      <c r="C69" s="76" t="s">
        <v>22</v>
      </c>
      <c r="D69" s="77">
        <v>0.59538658646021636</v>
      </c>
      <c r="E69" s="35">
        <v>1.5658280222622489</v>
      </c>
      <c r="F69" s="34">
        <v>0.81</v>
      </c>
      <c r="G69" s="34">
        <v>0.77100000000000002</v>
      </c>
    </row>
    <row r="70" spans="1:7" hidden="1" x14ac:dyDescent="0.25">
      <c r="A70" s="74">
        <v>40.196618890113925</v>
      </c>
      <c r="B70" s="75">
        <v>35</v>
      </c>
      <c r="C70" s="76" t="s">
        <v>22</v>
      </c>
      <c r="D70" s="77">
        <v>0.84971838900000141</v>
      </c>
      <c r="E70" s="35">
        <v>2.2347041313747185</v>
      </c>
      <c r="F70" s="34">
        <v>0.81</v>
      </c>
      <c r="G70" s="34">
        <v>0.77100000000000002</v>
      </c>
    </row>
    <row r="71" spans="1:7" hidden="1" x14ac:dyDescent="0.25">
      <c r="A71" s="74">
        <v>47.810860236902812</v>
      </c>
      <c r="B71" s="75">
        <v>40</v>
      </c>
      <c r="C71" s="76" t="s">
        <v>22</v>
      </c>
      <c r="D71" s="77">
        <v>1.3428742516056231</v>
      </c>
      <c r="E71" s="35">
        <v>3.5316719948964348</v>
      </c>
      <c r="F71" s="34">
        <v>0.81</v>
      </c>
      <c r="G71" s="34">
        <v>0.77100000000000002</v>
      </c>
    </row>
    <row r="72" spans="1:7" hidden="1" x14ac:dyDescent="0.25">
      <c r="A72" s="68">
        <v>20.022024226649311</v>
      </c>
      <c r="B72" s="69">
        <v>20</v>
      </c>
      <c r="C72" s="70" t="s">
        <v>23</v>
      </c>
      <c r="D72" s="71">
        <v>0.21657651092854194</v>
      </c>
      <c r="E72" s="73">
        <v>0.56958214626885495</v>
      </c>
      <c r="F72" s="72">
        <v>0.81</v>
      </c>
      <c r="G72" s="72">
        <v>0.77100000000000002</v>
      </c>
    </row>
    <row r="73" spans="1:7" hidden="1" x14ac:dyDescent="0.25">
      <c r="A73" s="68">
        <v>27.228864048097069</v>
      </c>
      <c r="B73" s="69">
        <v>25</v>
      </c>
      <c r="C73" s="70" t="s">
        <v>23</v>
      </c>
      <c r="D73" s="71">
        <v>0.52885328240384577</v>
      </c>
      <c r="E73" s="73">
        <v>1.3908497572587581</v>
      </c>
      <c r="F73" s="72">
        <v>0.81</v>
      </c>
      <c r="G73" s="72">
        <v>0.77100000000000002</v>
      </c>
    </row>
    <row r="74" spans="1:7" hidden="1" x14ac:dyDescent="0.25">
      <c r="A74" s="68">
        <v>33.630374954659047</v>
      </c>
      <c r="B74" s="69">
        <v>30</v>
      </c>
      <c r="C74" s="70" t="s">
        <v>23</v>
      </c>
      <c r="D74" s="71">
        <v>0.77421299017539003</v>
      </c>
      <c r="E74" s="73">
        <v>2.0361298403169146</v>
      </c>
      <c r="F74" s="72">
        <v>0.81</v>
      </c>
      <c r="G74" s="72">
        <v>0.77100000000000002</v>
      </c>
    </row>
    <row r="75" spans="1:7" hidden="1" x14ac:dyDescent="0.25">
      <c r="A75" s="68">
        <v>40.196618890113925</v>
      </c>
      <c r="B75" s="69">
        <v>35</v>
      </c>
      <c r="C75" s="70" t="s">
        <v>23</v>
      </c>
      <c r="D75" s="71">
        <v>1.139698442797263</v>
      </c>
      <c r="E75" s="73">
        <v>2.9973328241580197</v>
      </c>
      <c r="F75" s="72">
        <v>0.81</v>
      </c>
      <c r="G75" s="72">
        <v>0.77100000000000002</v>
      </c>
    </row>
    <row r="76" spans="1:7" hidden="1" x14ac:dyDescent="0.25">
      <c r="A76" s="68">
        <v>47.810860236902812</v>
      </c>
      <c r="B76" s="69">
        <v>40</v>
      </c>
      <c r="C76" s="70" t="s">
        <v>23</v>
      </c>
      <c r="D76" s="71">
        <v>1.8531260035092387</v>
      </c>
      <c r="E76" s="73">
        <v>4.8736009360390691</v>
      </c>
      <c r="F76" s="72">
        <v>0.81</v>
      </c>
      <c r="G76" s="72">
        <v>0.77100000000000002</v>
      </c>
    </row>
    <row r="77" spans="1:7" hidden="1" x14ac:dyDescent="0.25">
      <c r="A77" s="74">
        <v>18.840019970421171</v>
      </c>
      <c r="B77" s="75">
        <v>20</v>
      </c>
      <c r="C77" s="76" t="s">
        <v>203</v>
      </c>
      <c r="D77" s="77">
        <v>0.19144568200497011</v>
      </c>
      <c r="E77" s="35">
        <v>0.38181065313502216</v>
      </c>
      <c r="F77" s="34">
        <v>0.81</v>
      </c>
      <c r="G77" s="34">
        <v>0.34300000000000003</v>
      </c>
    </row>
    <row r="78" spans="1:7" hidden="1" x14ac:dyDescent="0.25">
      <c r="A78" s="74">
        <v>24.32900601413029</v>
      </c>
      <c r="B78" s="75">
        <v>25</v>
      </c>
      <c r="C78" s="76" t="s">
        <v>203</v>
      </c>
      <c r="D78" s="77">
        <v>0.35061039839889774</v>
      </c>
      <c r="E78" s="35">
        <v>0.69924160109883371</v>
      </c>
      <c r="F78" s="34">
        <v>0.81</v>
      </c>
      <c r="G78" s="34">
        <v>0.34300000000000003</v>
      </c>
    </row>
    <row r="79" spans="1:7" hidden="1" x14ac:dyDescent="0.25">
      <c r="A79" s="74">
        <v>29.793728089195799</v>
      </c>
      <c r="B79" s="75">
        <v>30</v>
      </c>
      <c r="C79" s="76" t="s">
        <v>203</v>
      </c>
      <c r="D79" s="77">
        <v>0.55960474740730881</v>
      </c>
      <c r="E79" s="35">
        <v>1.1160505260155034</v>
      </c>
      <c r="F79" s="34">
        <v>0.81</v>
      </c>
      <c r="G79" s="34">
        <v>0.34300000000000003</v>
      </c>
    </row>
    <row r="80" spans="1:7" hidden="1" x14ac:dyDescent="0.25">
      <c r="A80" s="74">
        <v>35.215316506640598</v>
      </c>
      <c r="B80" s="75">
        <v>35</v>
      </c>
      <c r="C80" s="76" t="s">
        <v>203</v>
      </c>
      <c r="D80" s="77">
        <v>0.83186130602003538</v>
      </c>
      <c r="E80" s="35">
        <v>1.6590267549675877</v>
      </c>
      <c r="F80" s="34">
        <v>0.81</v>
      </c>
      <c r="G80" s="34">
        <v>0.34300000000000003</v>
      </c>
    </row>
    <row r="81" spans="1:7" hidden="1" x14ac:dyDescent="0.25">
      <c r="A81" s="74">
        <v>40.795142658347473</v>
      </c>
      <c r="B81" s="75">
        <v>40</v>
      </c>
      <c r="C81" s="76" t="s">
        <v>203</v>
      </c>
      <c r="D81" s="77">
        <v>1.4705175968764248</v>
      </c>
      <c r="E81" s="35">
        <v>2.9327341219184824</v>
      </c>
      <c r="F81" s="34">
        <v>0.81</v>
      </c>
      <c r="G81" s="34">
        <v>0.34300000000000003</v>
      </c>
    </row>
    <row r="82" spans="1:7" hidden="1" x14ac:dyDescent="0.25">
      <c r="A82" s="68">
        <v>20.022024226649311</v>
      </c>
      <c r="B82" s="69">
        <v>20</v>
      </c>
      <c r="C82" s="70" t="s">
        <v>173</v>
      </c>
      <c r="D82" s="71">
        <v>0.2243287881460265</v>
      </c>
      <c r="E82" s="73">
        <v>0.58997013145282018</v>
      </c>
      <c r="F82" s="72">
        <v>0.81</v>
      </c>
      <c r="G82" s="72">
        <v>0.77100000000000002</v>
      </c>
    </row>
    <row r="83" spans="1:7" hidden="1" x14ac:dyDescent="0.25">
      <c r="A83" s="68">
        <v>27.228864048097069</v>
      </c>
      <c r="B83" s="69">
        <v>25</v>
      </c>
      <c r="C83" s="70" t="s">
        <v>173</v>
      </c>
      <c r="D83" s="71">
        <v>0.47126434798353001</v>
      </c>
      <c r="E83" s="73">
        <v>1.239394603014065</v>
      </c>
      <c r="F83" s="72">
        <v>0.81</v>
      </c>
      <c r="G83" s="72">
        <v>0.77100000000000002</v>
      </c>
    </row>
    <row r="84" spans="1:7" hidden="1" x14ac:dyDescent="0.25">
      <c r="A84" s="68">
        <v>33.630374954659047</v>
      </c>
      <c r="B84" s="69">
        <v>30</v>
      </c>
      <c r="C84" s="70" t="s">
        <v>173</v>
      </c>
      <c r="D84" s="71">
        <v>0.67202531502833385</v>
      </c>
      <c r="E84" s="73">
        <v>1.767382896879041</v>
      </c>
      <c r="F84" s="72">
        <v>0.81</v>
      </c>
      <c r="G84" s="72">
        <v>0.77100000000000002</v>
      </c>
    </row>
    <row r="85" spans="1:7" hidden="1" x14ac:dyDescent="0.25">
      <c r="A85" s="68">
        <v>40.196618890113925</v>
      </c>
      <c r="B85" s="69">
        <v>35</v>
      </c>
      <c r="C85" s="70" t="s">
        <v>173</v>
      </c>
      <c r="D85" s="71">
        <v>1.0275434765356779</v>
      </c>
      <c r="E85" s="73">
        <v>2.7023725529628577</v>
      </c>
      <c r="F85" s="72">
        <v>0.81</v>
      </c>
      <c r="G85" s="72">
        <v>0.77100000000000002</v>
      </c>
    </row>
    <row r="86" spans="1:7" hidden="1" x14ac:dyDescent="0.25">
      <c r="A86" s="68">
        <v>47.810860236902812</v>
      </c>
      <c r="B86" s="69">
        <v>40</v>
      </c>
      <c r="C86" s="70" t="s">
        <v>173</v>
      </c>
      <c r="D86" s="71">
        <v>1.447554727950966</v>
      </c>
      <c r="E86" s="73">
        <v>3.8069748434537236</v>
      </c>
      <c r="F86" s="72">
        <v>0.81</v>
      </c>
      <c r="G86" s="72">
        <v>0.77100000000000002</v>
      </c>
    </row>
    <row r="87" spans="1:7" hidden="1" x14ac:dyDescent="0.25">
      <c r="A87" s="74">
        <v>5.2950676444891585</v>
      </c>
      <c r="B87" s="75">
        <v>20</v>
      </c>
      <c r="C87" s="76" t="s">
        <v>24</v>
      </c>
      <c r="D87" s="77">
        <v>2.6003723150912643E-2</v>
      </c>
      <c r="E87" s="35">
        <v>4.4909860086399439E-2</v>
      </c>
      <c r="F87" s="34">
        <v>0.81</v>
      </c>
      <c r="G87" s="34">
        <v>0.16300000000000001</v>
      </c>
    </row>
    <row r="88" spans="1:7" hidden="1" x14ac:dyDescent="0.25">
      <c r="A88" s="74">
        <v>6.6188345556114481</v>
      </c>
      <c r="B88" s="75">
        <v>25</v>
      </c>
      <c r="C88" s="76" t="s">
        <v>24</v>
      </c>
      <c r="D88" s="77">
        <v>3.2504653938640805E-2</v>
      </c>
      <c r="E88" s="35">
        <v>5.6137325107999299E-2</v>
      </c>
      <c r="F88" s="34">
        <v>0.81</v>
      </c>
      <c r="G88" s="34">
        <v>0.16300000000000001</v>
      </c>
    </row>
    <row r="89" spans="1:7" hidden="1" x14ac:dyDescent="0.25">
      <c r="A89" s="74">
        <v>7.9426014667337377</v>
      </c>
      <c r="B89" s="75">
        <v>30</v>
      </c>
      <c r="C89" s="76" t="s">
        <v>24</v>
      </c>
      <c r="D89" s="77">
        <v>3.9005584726368968E-2</v>
      </c>
      <c r="E89" s="35">
        <v>6.7364790129599159E-2</v>
      </c>
      <c r="F89" s="34">
        <v>0.81</v>
      </c>
      <c r="G89" s="34">
        <v>0.16300000000000001</v>
      </c>
    </row>
    <row r="90" spans="1:7" hidden="1" x14ac:dyDescent="0.25">
      <c r="A90" s="74">
        <v>9.2663683778560273</v>
      </c>
      <c r="B90" s="75">
        <v>35</v>
      </c>
      <c r="C90" s="76" t="s">
        <v>24</v>
      </c>
      <c r="D90" s="77">
        <v>4.5506515514097123E-2</v>
      </c>
      <c r="E90" s="35">
        <v>7.8592255151199011E-2</v>
      </c>
      <c r="F90" s="34">
        <v>0.81</v>
      </c>
      <c r="G90" s="34">
        <v>0.16300000000000001</v>
      </c>
    </row>
    <row r="91" spans="1:7" hidden="1" x14ac:dyDescent="0.25">
      <c r="A91" s="74">
        <v>10.590135288978317</v>
      </c>
      <c r="B91" s="75">
        <v>40</v>
      </c>
      <c r="C91" s="76" t="s">
        <v>24</v>
      </c>
      <c r="D91" s="77">
        <v>5.2007446301825286E-2</v>
      </c>
      <c r="E91" s="35">
        <v>8.9819720172798878E-2</v>
      </c>
      <c r="F91" s="34">
        <v>0.81</v>
      </c>
      <c r="G91" s="34">
        <v>0.16300000000000001</v>
      </c>
    </row>
    <row r="92" spans="1:7" hidden="1" x14ac:dyDescent="0.25">
      <c r="A92" s="68">
        <v>8.7528501468290614</v>
      </c>
      <c r="B92" s="69">
        <v>20</v>
      </c>
      <c r="C92" s="70" t="s">
        <v>1</v>
      </c>
      <c r="D92" s="71">
        <v>3.9761341679913867E-2</v>
      </c>
      <c r="E92" s="73">
        <v>9.0997276417428483E-2</v>
      </c>
      <c r="F92" s="72">
        <v>0.83</v>
      </c>
      <c r="G92" s="72">
        <v>0.504</v>
      </c>
    </row>
    <row r="93" spans="1:7" hidden="1" x14ac:dyDescent="0.25">
      <c r="A93" s="68">
        <v>11.888316400408007</v>
      </c>
      <c r="B93" s="69">
        <v>25</v>
      </c>
      <c r="C93" s="70" t="s">
        <v>1</v>
      </c>
      <c r="D93" s="71">
        <v>4.970167709989233E-2</v>
      </c>
      <c r="E93" s="73">
        <v>0.11374659552178558</v>
      </c>
      <c r="F93" s="72">
        <v>0.83</v>
      </c>
      <c r="G93" s="72">
        <v>0.504</v>
      </c>
    </row>
    <row r="94" spans="1:7" hidden="1" x14ac:dyDescent="0.25">
      <c r="A94" s="68">
        <v>14.265979680489608</v>
      </c>
      <c r="B94" s="69">
        <v>30</v>
      </c>
      <c r="C94" s="70" t="s">
        <v>1</v>
      </c>
      <c r="D94" s="71">
        <v>8.0707300439288143E-2</v>
      </c>
      <c r="E94" s="73">
        <v>0.18470565168801564</v>
      </c>
      <c r="F94" s="72">
        <v>0.83</v>
      </c>
      <c r="G94" s="72">
        <v>0.504</v>
      </c>
    </row>
    <row r="95" spans="1:7" hidden="1" x14ac:dyDescent="0.25">
      <c r="A95" s="68">
        <v>17.319530492270541</v>
      </c>
      <c r="B95" s="69">
        <v>35</v>
      </c>
      <c r="C95" s="70" t="s">
        <v>1</v>
      </c>
      <c r="D95" s="71">
        <v>0.12556522035551965</v>
      </c>
      <c r="E95" s="73">
        <v>0.28736688910270414</v>
      </c>
      <c r="F95" s="72">
        <v>0.83</v>
      </c>
      <c r="G95" s="72">
        <v>0.504</v>
      </c>
    </row>
    <row r="96" spans="1:7" hidden="1" x14ac:dyDescent="0.25">
      <c r="A96" s="68">
        <v>19.793749134023475</v>
      </c>
      <c r="B96" s="69">
        <v>40</v>
      </c>
      <c r="C96" s="70" t="s">
        <v>1</v>
      </c>
      <c r="D96" s="71">
        <v>0.14350310897773672</v>
      </c>
      <c r="E96" s="73">
        <v>0.32841930183166185</v>
      </c>
      <c r="F96" s="72">
        <v>0.83</v>
      </c>
      <c r="G96" s="72">
        <v>0.504</v>
      </c>
    </row>
    <row r="97" spans="1:7" hidden="1" x14ac:dyDescent="0.25">
      <c r="A97" s="74">
        <v>6.3861650121177487</v>
      </c>
      <c r="B97" s="75">
        <v>20</v>
      </c>
      <c r="C97" s="76" t="s">
        <v>25</v>
      </c>
      <c r="D97" s="77">
        <v>1.6425143721851405E-2</v>
      </c>
      <c r="E97" s="35">
        <v>3.1871348877880464E-2</v>
      </c>
      <c r="F97" s="34">
        <v>0.8</v>
      </c>
      <c r="G97" s="34">
        <v>0.32300000000000001</v>
      </c>
    </row>
    <row r="98" spans="1:7" hidden="1" x14ac:dyDescent="0.25">
      <c r="A98" s="74">
        <v>7.9827062651471854</v>
      </c>
      <c r="B98" s="75">
        <v>25</v>
      </c>
      <c r="C98" s="76" t="s">
        <v>25</v>
      </c>
      <c r="D98" s="77">
        <v>2.0531429652314255E-2</v>
      </c>
      <c r="E98" s="35">
        <v>3.9839186097350585E-2</v>
      </c>
      <c r="F98" s="34">
        <v>0.8</v>
      </c>
      <c r="G98" s="34">
        <v>0.32300000000000001</v>
      </c>
    </row>
    <row r="99" spans="1:7" hidden="1" x14ac:dyDescent="0.25">
      <c r="A99" s="74">
        <v>9.5792475181766221</v>
      </c>
      <c r="B99" s="75">
        <v>30</v>
      </c>
      <c r="C99" s="76" t="s">
        <v>25</v>
      </c>
      <c r="D99" s="77">
        <v>2.4637715582777105E-2</v>
      </c>
      <c r="E99" s="35">
        <v>4.7807023316820692E-2</v>
      </c>
      <c r="F99" s="34">
        <v>0.8</v>
      </c>
      <c r="G99" s="34">
        <v>0.32300000000000001</v>
      </c>
    </row>
    <row r="100" spans="1:7" hidden="1" x14ac:dyDescent="0.25">
      <c r="A100" s="74">
        <v>11.78625789679279</v>
      </c>
      <c r="B100" s="75">
        <v>35</v>
      </c>
      <c r="C100" s="76" t="s">
        <v>25</v>
      </c>
      <c r="D100" s="77">
        <v>4.3231905657951541E-2</v>
      </c>
      <c r="E100" s="35">
        <v>8.388718973868918E-2</v>
      </c>
      <c r="F100" s="34">
        <v>0.8</v>
      </c>
      <c r="G100" s="34">
        <v>0.32300000000000001</v>
      </c>
    </row>
    <row r="101" spans="1:7" hidden="1" x14ac:dyDescent="0.25">
      <c r="A101" s="74">
        <v>13.470009024906046</v>
      </c>
      <c r="B101" s="75">
        <v>40</v>
      </c>
      <c r="C101" s="76" t="s">
        <v>25</v>
      </c>
      <c r="D101" s="77">
        <v>4.9407892180516048E-2</v>
      </c>
      <c r="E101" s="35">
        <v>9.5871073987073341E-2</v>
      </c>
      <c r="F101" s="34">
        <v>0.8</v>
      </c>
      <c r="G101" s="34">
        <v>0.32300000000000001</v>
      </c>
    </row>
    <row r="102" spans="1:7" hidden="1" x14ac:dyDescent="0.25">
      <c r="A102" s="68">
        <v>6.3861650121177487</v>
      </c>
      <c r="B102" s="69">
        <v>20</v>
      </c>
      <c r="C102" s="70" t="s">
        <v>26</v>
      </c>
      <c r="D102" s="71">
        <v>1.8499049966165151E-2</v>
      </c>
      <c r="E102" s="73">
        <v>3.5895556554346862E-2</v>
      </c>
      <c r="F102" s="72">
        <v>0.8</v>
      </c>
      <c r="G102" s="72">
        <v>0.32300000000000001</v>
      </c>
    </row>
    <row r="103" spans="1:7" hidden="1" x14ac:dyDescent="0.25">
      <c r="A103" s="68">
        <v>7.9827062651471854</v>
      </c>
      <c r="B103" s="69">
        <v>25</v>
      </c>
      <c r="C103" s="70" t="s">
        <v>26</v>
      </c>
      <c r="D103" s="71">
        <v>2.3123812457706443E-2</v>
      </c>
      <c r="E103" s="73">
        <v>4.4869445692933579E-2</v>
      </c>
      <c r="F103" s="72">
        <v>0.8</v>
      </c>
      <c r="G103" s="72">
        <v>0.32300000000000001</v>
      </c>
    </row>
    <row r="104" spans="1:7" hidden="1" x14ac:dyDescent="0.25">
      <c r="A104" s="68">
        <v>9.5792475181766221</v>
      </c>
      <c r="B104" s="69">
        <v>30</v>
      </c>
      <c r="C104" s="70" t="s">
        <v>26</v>
      </c>
      <c r="D104" s="71">
        <v>2.7748574949247731E-2</v>
      </c>
      <c r="E104" s="73">
        <v>5.3843334831520297E-2</v>
      </c>
      <c r="F104" s="72">
        <v>0.8</v>
      </c>
      <c r="G104" s="72">
        <v>0.32300000000000001</v>
      </c>
    </row>
    <row r="105" spans="1:7" hidden="1" x14ac:dyDescent="0.25">
      <c r="A105" s="68">
        <v>11.78625789679279</v>
      </c>
      <c r="B105" s="69">
        <v>35</v>
      </c>
      <c r="C105" s="70" t="s">
        <v>26</v>
      </c>
      <c r="D105" s="71">
        <v>6.189334461449373E-2</v>
      </c>
      <c r="E105" s="73">
        <v>0.12009784588996364</v>
      </c>
      <c r="F105" s="72">
        <v>0.8</v>
      </c>
      <c r="G105" s="72">
        <v>0.32300000000000001</v>
      </c>
    </row>
    <row r="106" spans="1:7" hidden="1" x14ac:dyDescent="0.25">
      <c r="A106" s="68">
        <v>13.470009024906046</v>
      </c>
      <c r="B106" s="69">
        <v>40</v>
      </c>
      <c r="C106" s="70" t="s">
        <v>26</v>
      </c>
      <c r="D106" s="71">
        <v>7.073525098799284E-2</v>
      </c>
      <c r="E106" s="73">
        <v>0.13725468101710131</v>
      </c>
      <c r="F106" s="72">
        <v>0.8</v>
      </c>
      <c r="G106" s="72">
        <v>0.32300000000000001</v>
      </c>
    </row>
    <row r="107" spans="1:7" hidden="1" x14ac:dyDescent="0.25">
      <c r="A107" s="74">
        <v>3.2319210377052068</v>
      </c>
      <c r="B107" s="75">
        <v>20</v>
      </c>
      <c r="C107" s="78" t="s">
        <v>204</v>
      </c>
      <c r="D107" s="77">
        <v>5.7798455470010439E-3</v>
      </c>
      <c r="E107" s="35">
        <v>1.138475443544619E-2</v>
      </c>
      <c r="F107" s="34">
        <v>0.8</v>
      </c>
      <c r="G107" s="34">
        <v>0.34300000000000003</v>
      </c>
    </row>
    <row r="108" spans="1:7" hidden="1" x14ac:dyDescent="0.25">
      <c r="A108" s="74">
        <v>4.0399012971315083</v>
      </c>
      <c r="B108" s="75">
        <v>25</v>
      </c>
      <c r="C108" s="78" t="s">
        <v>204</v>
      </c>
      <c r="D108" s="77">
        <v>7.224806933751304E-3</v>
      </c>
      <c r="E108" s="35">
        <v>1.4230943044307736E-2</v>
      </c>
      <c r="F108" s="34">
        <v>0.8</v>
      </c>
      <c r="G108" s="34">
        <v>0.34300000000000003</v>
      </c>
    </row>
    <row r="109" spans="1:7" hidden="1" x14ac:dyDescent="0.25">
      <c r="A109" s="74">
        <v>4.8478815565578097</v>
      </c>
      <c r="B109" s="75">
        <v>30</v>
      </c>
      <c r="C109" s="78" t="s">
        <v>204</v>
      </c>
      <c r="D109" s="77">
        <v>8.6697683205015658E-3</v>
      </c>
      <c r="E109" s="35">
        <v>1.7077131653169285E-2</v>
      </c>
      <c r="F109" s="34">
        <v>0.8</v>
      </c>
      <c r="G109" s="34">
        <v>0.34300000000000003</v>
      </c>
    </row>
    <row r="110" spans="1:7" hidden="1" x14ac:dyDescent="0.25">
      <c r="A110" s="74">
        <v>5.6558618159841112</v>
      </c>
      <c r="B110" s="75">
        <v>35</v>
      </c>
      <c r="C110" s="78" t="s">
        <v>204</v>
      </c>
      <c r="D110" s="77">
        <v>1.0114729707251826E-2</v>
      </c>
      <c r="E110" s="35">
        <v>1.9923320262030829E-2</v>
      </c>
      <c r="F110" s="34">
        <v>0.8</v>
      </c>
      <c r="G110" s="34">
        <v>0.34300000000000003</v>
      </c>
    </row>
    <row r="111" spans="1:7" hidden="1" x14ac:dyDescent="0.25">
      <c r="A111" s="74">
        <v>6.4638420754104136</v>
      </c>
      <c r="B111" s="75">
        <v>40</v>
      </c>
      <c r="C111" s="78" t="s">
        <v>204</v>
      </c>
      <c r="D111" s="77">
        <v>1.1559691094002088E-2</v>
      </c>
      <c r="E111" s="35">
        <v>2.276950887089238E-2</v>
      </c>
      <c r="F111" s="34">
        <v>0.8</v>
      </c>
      <c r="G111" s="34">
        <v>0.34300000000000003</v>
      </c>
    </row>
    <row r="112" spans="1:7" hidden="1" x14ac:dyDescent="0.25">
      <c r="A112" s="68">
        <v>3.2319210377052068</v>
      </c>
      <c r="B112" s="69">
        <v>20</v>
      </c>
      <c r="C112" s="70" t="s">
        <v>205</v>
      </c>
      <c r="D112" s="71">
        <v>9.5725715263053086E-3</v>
      </c>
      <c r="E112" s="73">
        <v>1.885541322108111E-2</v>
      </c>
      <c r="F112" s="72">
        <v>0.8</v>
      </c>
      <c r="G112" s="72">
        <v>0.34300000000000003</v>
      </c>
    </row>
    <row r="113" spans="1:7" hidden="1" x14ac:dyDescent="0.25">
      <c r="A113" s="68">
        <v>4.0399012971315083</v>
      </c>
      <c r="B113" s="69">
        <v>25</v>
      </c>
      <c r="C113" s="70" t="s">
        <v>205</v>
      </c>
      <c r="D113" s="71">
        <v>1.1965714407881635E-2</v>
      </c>
      <c r="E113" s="73">
        <v>2.3569266526351388E-2</v>
      </c>
      <c r="F113" s="72">
        <v>0.8</v>
      </c>
      <c r="G113" s="72">
        <v>0.34300000000000003</v>
      </c>
    </row>
    <row r="114" spans="1:7" hidden="1" x14ac:dyDescent="0.25">
      <c r="A114" s="68">
        <v>4.8478815565578097</v>
      </c>
      <c r="B114" s="69">
        <v>30</v>
      </c>
      <c r="C114" s="70" t="s">
        <v>205</v>
      </c>
      <c r="D114" s="71">
        <v>1.4358857289457962E-2</v>
      </c>
      <c r="E114" s="73">
        <v>2.8283119831621666E-2</v>
      </c>
      <c r="F114" s="72">
        <v>0.8</v>
      </c>
      <c r="G114" s="72">
        <v>0.34300000000000003</v>
      </c>
    </row>
    <row r="115" spans="1:7" hidden="1" x14ac:dyDescent="0.25">
      <c r="A115" s="68">
        <v>5.6558618159841112</v>
      </c>
      <c r="B115" s="69">
        <v>35</v>
      </c>
      <c r="C115" s="70" t="s">
        <v>205</v>
      </c>
      <c r="D115" s="71">
        <v>1.675200017103429E-2</v>
      </c>
      <c r="E115" s="73">
        <v>3.2996973136891941E-2</v>
      </c>
      <c r="F115" s="72">
        <v>0.8</v>
      </c>
      <c r="G115" s="72">
        <v>0.34300000000000003</v>
      </c>
    </row>
    <row r="116" spans="1:7" hidden="1" x14ac:dyDescent="0.25">
      <c r="A116" s="68">
        <v>6.4638420754104136</v>
      </c>
      <c r="B116" s="69">
        <v>40</v>
      </c>
      <c r="C116" s="70" t="s">
        <v>205</v>
      </c>
      <c r="D116" s="71">
        <v>1.9145143052610617E-2</v>
      </c>
      <c r="E116" s="73">
        <v>3.7710826442162219E-2</v>
      </c>
      <c r="F116" s="72">
        <v>0.8</v>
      </c>
      <c r="G116" s="72">
        <v>0.34300000000000003</v>
      </c>
    </row>
    <row r="117" spans="1:7" hidden="1" x14ac:dyDescent="0.25">
      <c r="A117" s="74">
        <v>3.2319210377052068</v>
      </c>
      <c r="B117" s="75">
        <v>20</v>
      </c>
      <c r="C117" s="76" t="s">
        <v>107</v>
      </c>
      <c r="D117" s="77">
        <v>7.0783056874107976E-3</v>
      </c>
      <c r="E117" s="35">
        <v>1.3942374656015961E-2</v>
      </c>
      <c r="F117" s="34">
        <v>0.8</v>
      </c>
      <c r="G117" s="34">
        <v>0.34300000000000003</v>
      </c>
    </row>
    <row r="118" spans="1:7" hidden="1" x14ac:dyDescent="0.25">
      <c r="A118" s="74">
        <v>4.0399012971315083</v>
      </c>
      <c r="B118" s="75">
        <v>25</v>
      </c>
      <c r="C118" s="76" t="s">
        <v>107</v>
      </c>
      <c r="D118" s="77">
        <v>8.8478821092634972E-3</v>
      </c>
      <c r="E118" s="35">
        <v>1.742796832001995E-2</v>
      </c>
      <c r="F118" s="34">
        <v>0.8</v>
      </c>
      <c r="G118" s="34">
        <v>0.34300000000000003</v>
      </c>
    </row>
    <row r="119" spans="1:7" hidden="1" x14ac:dyDescent="0.25">
      <c r="A119" s="74">
        <v>4.8478815565578097</v>
      </c>
      <c r="B119" s="75">
        <v>30</v>
      </c>
      <c r="C119" s="76" t="s">
        <v>107</v>
      </c>
      <c r="D119" s="77">
        <v>1.0617458531116196E-2</v>
      </c>
      <c r="E119" s="35">
        <v>2.0913561984023939E-2</v>
      </c>
      <c r="F119" s="34">
        <v>0.8</v>
      </c>
      <c r="G119" s="34">
        <v>0.34300000000000003</v>
      </c>
    </row>
    <row r="120" spans="1:7" hidden="1" x14ac:dyDescent="0.25">
      <c r="A120" s="74">
        <v>5.6558618159841112</v>
      </c>
      <c r="B120" s="75">
        <v>35</v>
      </c>
      <c r="C120" s="76" t="s">
        <v>107</v>
      </c>
      <c r="D120" s="77">
        <v>1.2387034952968895E-2</v>
      </c>
      <c r="E120" s="35">
        <v>2.4399155648027929E-2</v>
      </c>
      <c r="F120" s="34">
        <v>0.8</v>
      </c>
      <c r="G120" s="34">
        <v>0.34300000000000003</v>
      </c>
    </row>
    <row r="121" spans="1:7" hidden="1" x14ac:dyDescent="0.25">
      <c r="A121" s="74">
        <v>6.4638420754104136</v>
      </c>
      <c r="B121" s="75">
        <v>40</v>
      </c>
      <c r="C121" s="76" t="s">
        <v>107</v>
      </c>
      <c r="D121" s="77">
        <v>1.4156611374821595E-2</v>
      </c>
      <c r="E121" s="35">
        <v>2.7884749312031921E-2</v>
      </c>
      <c r="F121" s="34">
        <v>0.8</v>
      </c>
      <c r="G121" s="34">
        <v>0.34300000000000003</v>
      </c>
    </row>
    <row r="122" spans="1:7" hidden="1" x14ac:dyDescent="0.25">
      <c r="A122" s="68">
        <v>21.507226428079839</v>
      </c>
      <c r="B122" s="69">
        <v>20</v>
      </c>
      <c r="C122" s="70" t="s">
        <v>206</v>
      </c>
      <c r="D122" s="71">
        <v>0.34197058899230237</v>
      </c>
      <c r="E122" s="73">
        <v>0.51560045604332738</v>
      </c>
      <c r="F122" s="72">
        <v>0.64</v>
      </c>
      <c r="G122" s="72">
        <v>0.28499999999999998</v>
      </c>
    </row>
    <row r="123" spans="1:7" hidden="1" x14ac:dyDescent="0.25">
      <c r="A123" s="68">
        <v>24.678115118471403</v>
      </c>
      <c r="B123" s="69">
        <v>25</v>
      </c>
      <c r="C123" s="70" t="s">
        <v>206</v>
      </c>
      <c r="D123" s="71">
        <v>0.54059250060134179</v>
      </c>
      <c r="E123" s="73">
        <v>0.81506933290666295</v>
      </c>
      <c r="F123" s="72">
        <v>0.64</v>
      </c>
      <c r="G123" s="72">
        <v>0.28499999999999998</v>
      </c>
    </row>
    <row r="124" spans="1:7" hidden="1" x14ac:dyDescent="0.25">
      <c r="A124" s="68">
        <v>29.613738142165683</v>
      </c>
      <c r="B124" s="69">
        <v>30</v>
      </c>
      <c r="C124" s="70" t="s">
        <v>206</v>
      </c>
      <c r="D124" s="71">
        <v>0.64871100072161014</v>
      </c>
      <c r="E124" s="73">
        <v>0.97808319948799549</v>
      </c>
      <c r="F124" s="72">
        <v>0.64</v>
      </c>
      <c r="G124" s="72">
        <v>0.28499999999999998</v>
      </c>
    </row>
    <row r="125" spans="1:7" hidden="1" x14ac:dyDescent="0.25">
      <c r="A125" s="68">
        <v>32.744226825273465</v>
      </c>
      <c r="B125" s="69">
        <v>35</v>
      </c>
      <c r="C125" s="70" t="s">
        <v>206</v>
      </c>
      <c r="D125" s="71">
        <v>0.86363081643836814</v>
      </c>
      <c r="E125" s="73">
        <v>1.3021249696380088</v>
      </c>
      <c r="F125" s="72">
        <v>0.64</v>
      </c>
      <c r="G125" s="72">
        <v>0.28499999999999998</v>
      </c>
    </row>
    <row r="126" spans="1:7" hidden="1" x14ac:dyDescent="0.25">
      <c r="A126" s="68">
        <v>35.413899955732631</v>
      </c>
      <c r="B126" s="69">
        <v>40</v>
      </c>
      <c r="C126" s="70" t="s">
        <v>206</v>
      </c>
      <c r="D126" s="71">
        <v>1.1176085358157115</v>
      </c>
      <c r="E126" s="73">
        <v>1.6850556430672088</v>
      </c>
      <c r="F126" s="72">
        <v>0.64</v>
      </c>
      <c r="G126" s="72">
        <v>0.28499999999999998</v>
      </c>
    </row>
    <row r="127" spans="1:7" hidden="1" x14ac:dyDescent="0.25">
      <c r="A127" s="74" t="e">
        <v>#VALUE!</v>
      </c>
      <c r="B127" s="75">
        <v>20</v>
      </c>
      <c r="C127" s="79" t="s">
        <v>27</v>
      </c>
      <c r="D127" s="77" t="e">
        <v>#VALUE!</v>
      </c>
      <c r="E127" s="35" t="e">
        <v>#VALUE!</v>
      </c>
      <c r="F127" s="34">
        <v>0.73</v>
      </c>
      <c r="G127" s="34">
        <v>0.504</v>
      </c>
    </row>
    <row r="128" spans="1:7" hidden="1" x14ac:dyDescent="0.25">
      <c r="A128" s="74" t="e">
        <v>#VALUE!</v>
      </c>
      <c r="B128" s="75">
        <v>25</v>
      </c>
      <c r="C128" s="79" t="s">
        <v>27</v>
      </c>
      <c r="D128" s="77" t="e">
        <v>#VALUE!</v>
      </c>
      <c r="E128" s="35" t="e">
        <v>#VALUE!</v>
      </c>
      <c r="F128" s="34">
        <v>0.73</v>
      </c>
      <c r="G128" s="34">
        <v>0.504</v>
      </c>
    </row>
    <row r="129" spans="1:7" hidden="1" x14ac:dyDescent="0.25">
      <c r="A129" s="74" t="e">
        <v>#VALUE!</v>
      </c>
      <c r="B129" s="75">
        <v>30</v>
      </c>
      <c r="C129" s="79" t="s">
        <v>27</v>
      </c>
      <c r="D129" s="77" t="e">
        <v>#VALUE!</v>
      </c>
      <c r="E129" s="35" t="e">
        <v>#VALUE!</v>
      </c>
      <c r="F129" s="34">
        <v>0.73</v>
      </c>
      <c r="G129" s="34">
        <v>0.504</v>
      </c>
    </row>
    <row r="130" spans="1:7" hidden="1" x14ac:dyDescent="0.25">
      <c r="A130" s="74" t="e">
        <v>#VALUE!</v>
      </c>
      <c r="B130" s="75">
        <v>35</v>
      </c>
      <c r="C130" s="79" t="s">
        <v>27</v>
      </c>
      <c r="D130" s="77" t="e">
        <v>#VALUE!</v>
      </c>
      <c r="E130" s="35" t="e">
        <v>#VALUE!</v>
      </c>
      <c r="F130" s="34">
        <v>0.73</v>
      </c>
      <c r="G130" s="34">
        <v>0.504</v>
      </c>
    </row>
    <row r="131" spans="1:7" hidden="1" x14ac:dyDescent="0.25">
      <c r="A131" s="74" t="e">
        <v>#VALUE!</v>
      </c>
      <c r="B131" s="75">
        <v>40</v>
      </c>
      <c r="C131" s="79" t="s">
        <v>27</v>
      </c>
      <c r="D131" s="77" t="e">
        <v>#VALUE!</v>
      </c>
      <c r="E131" s="35" t="e">
        <v>#VALUE!</v>
      </c>
      <c r="F131" s="34">
        <v>0.73</v>
      </c>
      <c r="G131" s="34">
        <v>0.504</v>
      </c>
    </row>
    <row r="132" spans="1:7" hidden="1" x14ac:dyDescent="0.25">
      <c r="A132" s="68">
        <v>7.0852640677918064</v>
      </c>
      <c r="B132" s="69">
        <v>20</v>
      </c>
      <c r="C132" s="70" t="s">
        <v>186</v>
      </c>
      <c r="D132" s="71">
        <v>1.275303928793441E-2</v>
      </c>
      <c r="E132" s="73">
        <v>3.8995053250978962E-2</v>
      </c>
      <c r="F132" s="72">
        <v>1.28</v>
      </c>
      <c r="G132" s="72">
        <v>0.30299999999999999</v>
      </c>
    </row>
    <row r="133" spans="1:7" hidden="1" x14ac:dyDescent="0.25">
      <c r="A133" s="68">
        <v>8.8565800847397576</v>
      </c>
      <c r="B133" s="69">
        <v>25</v>
      </c>
      <c r="C133" s="70" t="s">
        <v>186</v>
      </c>
      <c r="D133" s="71">
        <v>1.5941299109918011E-2</v>
      </c>
      <c r="E133" s="73">
        <v>4.8743816563723702E-2</v>
      </c>
      <c r="F133" s="72">
        <v>1.28</v>
      </c>
      <c r="G133" s="72">
        <v>0.30299999999999999</v>
      </c>
    </row>
    <row r="134" spans="1:7" hidden="1" x14ac:dyDescent="0.25">
      <c r="A134" s="68">
        <v>11.083771142293454</v>
      </c>
      <c r="B134" s="69">
        <v>30</v>
      </c>
      <c r="C134" s="70" t="s">
        <v>186</v>
      </c>
      <c r="D134" s="71">
        <v>2.7498353715506931E-2</v>
      </c>
      <c r="E134" s="73">
        <v>8.4081899478263639E-2</v>
      </c>
      <c r="F134" s="72">
        <v>1.28</v>
      </c>
      <c r="G134" s="72">
        <v>0.30299999999999999</v>
      </c>
    </row>
    <row r="135" spans="1:7" hidden="1" x14ac:dyDescent="0.25">
      <c r="A135" s="68">
        <v>12.931066332675696</v>
      </c>
      <c r="B135" s="69">
        <v>35</v>
      </c>
      <c r="C135" s="70" t="s">
        <v>186</v>
      </c>
      <c r="D135" s="71">
        <v>3.2081412668091419E-2</v>
      </c>
      <c r="E135" s="73">
        <v>9.8095549391307588E-2</v>
      </c>
      <c r="F135" s="72">
        <v>1.28</v>
      </c>
      <c r="G135" s="72">
        <v>0.30299999999999999</v>
      </c>
    </row>
    <row r="136" spans="1:7" hidden="1" x14ac:dyDescent="0.25">
      <c r="A136" s="68">
        <v>14.170528135583613</v>
      </c>
      <c r="B136" s="69">
        <v>40</v>
      </c>
      <c r="C136" s="70" t="s">
        <v>186</v>
      </c>
      <c r="D136" s="71">
        <v>3.6664471620675911E-2</v>
      </c>
      <c r="E136" s="73">
        <v>0.11210919930435154</v>
      </c>
      <c r="F136" s="72">
        <v>1.28</v>
      </c>
      <c r="G136" s="72">
        <v>0.30299999999999999</v>
      </c>
    </row>
    <row r="137" spans="1:7" hidden="1" x14ac:dyDescent="0.25">
      <c r="A137" s="74" t="e">
        <v>#VALUE!</v>
      </c>
      <c r="B137" s="75">
        <v>20</v>
      </c>
      <c r="C137" s="79" t="s">
        <v>207</v>
      </c>
      <c r="D137" s="77" t="e">
        <v>#VALUE!</v>
      </c>
      <c r="E137" s="35" t="e">
        <v>#VALUE!</v>
      </c>
      <c r="F137" s="34" t="s">
        <v>100</v>
      </c>
      <c r="G137" s="34" t="s">
        <v>100</v>
      </c>
    </row>
    <row r="138" spans="1:7" hidden="1" x14ac:dyDescent="0.25">
      <c r="A138" s="74" t="e">
        <v>#VALUE!</v>
      </c>
      <c r="B138" s="75">
        <v>25</v>
      </c>
      <c r="C138" s="79" t="s">
        <v>207</v>
      </c>
      <c r="D138" s="77" t="e">
        <v>#VALUE!</v>
      </c>
      <c r="E138" s="35" t="e">
        <v>#VALUE!</v>
      </c>
      <c r="F138" s="34" t="s">
        <v>100</v>
      </c>
      <c r="G138" s="34" t="s">
        <v>100</v>
      </c>
    </row>
    <row r="139" spans="1:7" hidden="1" x14ac:dyDescent="0.25">
      <c r="A139" s="74" t="e">
        <v>#VALUE!</v>
      </c>
      <c r="B139" s="75">
        <v>30</v>
      </c>
      <c r="C139" s="79" t="s">
        <v>207</v>
      </c>
      <c r="D139" s="77" t="e">
        <v>#VALUE!</v>
      </c>
      <c r="E139" s="35" t="e">
        <v>#VALUE!</v>
      </c>
      <c r="F139" s="34" t="s">
        <v>100</v>
      </c>
      <c r="G139" s="34" t="s">
        <v>100</v>
      </c>
    </row>
    <row r="140" spans="1:7" hidden="1" x14ac:dyDescent="0.25">
      <c r="A140" s="74" t="e">
        <v>#VALUE!</v>
      </c>
      <c r="B140" s="75">
        <v>35</v>
      </c>
      <c r="C140" s="79" t="s">
        <v>207</v>
      </c>
      <c r="D140" s="77" t="e">
        <v>#VALUE!</v>
      </c>
      <c r="E140" s="35" t="e">
        <v>#VALUE!</v>
      </c>
      <c r="F140" s="34" t="s">
        <v>100</v>
      </c>
      <c r="G140" s="34" t="s">
        <v>100</v>
      </c>
    </row>
    <row r="141" spans="1:7" hidden="1" x14ac:dyDescent="0.25">
      <c r="A141" s="74" t="e">
        <v>#VALUE!</v>
      </c>
      <c r="B141" s="75">
        <v>40</v>
      </c>
      <c r="C141" s="79" t="s">
        <v>207</v>
      </c>
      <c r="D141" s="77" t="e">
        <v>#VALUE!</v>
      </c>
      <c r="E141" s="35" t="e">
        <v>#VALUE!</v>
      </c>
      <c r="F141" s="34" t="s">
        <v>100</v>
      </c>
      <c r="G141" s="34" t="s">
        <v>100</v>
      </c>
    </row>
    <row r="142" spans="1:7" hidden="1" x14ac:dyDescent="0.25">
      <c r="A142" s="68">
        <v>8.7528501468290614</v>
      </c>
      <c r="B142" s="69">
        <v>20</v>
      </c>
      <c r="C142" s="70" t="s">
        <v>39</v>
      </c>
      <c r="D142" s="71">
        <v>1.3060539347216366E-2</v>
      </c>
      <c r="E142" s="73">
        <v>2.5342670549338638E-2</v>
      </c>
      <c r="F142" s="72">
        <v>0.8</v>
      </c>
      <c r="G142" s="72">
        <v>0.32300000000000001</v>
      </c>
    </row>
    <row r="143" spans="1:7" hidden="1" x14ac:dyDescent="0.25">
      <c r="A143" s="68">
        <v>11.888316400408007</v>
      </c>
      <c r="B143" s="69">
        <v>25</v>
      </c>
      <c r="C143" s="70" t="s">
        <v>39</v>
      </c>
      <c r="D143" s="71">
        <v>1.6325674184020457E-2</v>
      </c>
      <c r="E143" s="73">
        <v>3.1678338186673295E-2</v>
      </c>
      <c r="F143" s="72">
        <v>0.8</v>
      </c>
      <c r="G143" s="72">
        <v>0.32300000000000001</v>
      </c>
    </row>
    <row r="144" spans="1:7" hidden="1" x14ac:dyDescent="0.25">
      <c r="A144" s="68">
        <v>14.265979680489608</v>
      </c>
      <c r="B144" s="69">
        <v>30</v>
      </c>
      <c r="C144" s="70" t="s">
        <v>39</v>
      </c>
      <c r="D144" s="71">
        <v>4.6052327221534919E-2</v>
      </c>
      <c r="E144" s="73">
        <v>8.9359935740666363E-2</v>
      </c>
      <c r="F144" s="72">
        <v>0.8</v>
      </c>
      <c r="G144" s="72">
        <v>0.32300000000000001</v>
      </c>
    </row>
    <row r="145" spans="1:7" hidden="1" x14ac:dyDescent="0.25">
      <c r="A145" s="68">
        <v>17.319530492270541</v>
      </c>
      <c r="B145" s="69">
        <v>35</v>
      </c>
      <c r="C145" s="70" t="s">
        <v>39</v>
      </c>
      <c r="D145" s="71">
        <v>8.8288764449473867E-2</v>
      </c>
      <c r="E145" s="73">
        <v>0.17131551853775909</v>
      </c>
      <c r="F145" s="72">
        <v>0.8</v>
      </c>
      <c r="G145" s="72">
        <v>0.32300000000000001</v>
      </c>
    </row>
    <row r="146" spans="1:7" hidden="1" x14ac:dyDescent="0.25">
      <c r="A146" s="68">
        <v>19.793749134023475</v>
      </c>
      <c r="B146" s="69">
        <v>40</v>
      </c>
      <c r="C146" s="70" t="s">
        <v>39</v>
      </c>
      <c r="D146" s="71">
        <v>0.10090144508511299</v>
      </c>
      <c r="E146" s="73">
        <v>0.19578916404315322</v>
      </c>
      <c r="F146" s="72">
        <v>0.8</v>
      </c>
      <c r="G146" s="72">
        <v>0.32300000000000001</v>
      </c>
    </row>
    <row r="147" spans="1:7" hidden="1" x14ac:dyDescent="0.25">
      <c r="A147" s="74">
        <v>8.2369269672870438</v>
      </c>
      <c r="B147" s="75">
        <v>20</v>
      </c>
      <c r="C147" s="76" t="s">
        <v>42</v>
      </c>
      <c r="D147" s="77">
        <v>2.0911777452768961E-2</v>
      </c>
      <c r="E147" s="35">
        <v>2.6547327211478084E-2</v>
      </c>
      <c r="F147" s="34">
        <v>0.55000000000000004</v>
      </c>
      <c r="G147" s="34">
        <v>0.25900000000000001</v>
      </c>
    </row>
    <row r="148" spans="1:7" hidden="1" x14ac:dyDescent="0.25">
      <c r="A148" s="74">
        <v>10.925308039060162</v>
      </c>
      <c r="B148" s="75">
        <v>25</v>
      </c>
      <c r="C148" s="76" t="s">
        <v>42</v>
      </c>
      <c r="D148" s="77">
        <v>5.3836633176261334E-2</v>
      </c>
      <c r="E148" s="35">
        <v>6.8345157178653956E-2</v>
      </c>
      <c r="F148" s="34">
        <v>0.55000000000000004</v>
      </c>
      <c r="G148" s="34">
        <v>0.25900000000000001</v>
      </c>
    </row>
    <row r="149" spans="1:7" hidden="1" x14ac:dyDescent="0.25">
      <c r="A149" s="74">
        <v>13.34258419170625</v>
      </c>
      <c r="B149" s="75">
        <v>30</v>
      </c>
      <c r="C149" s="76" t="s">
        <v>42</v>
      </c>
      <c r="D149" s="77">
        <v>0.10661669545555842</v>
      </c>
      <c r="E149" s="35">
        <v>0.13534900640836928</v>
      </c>
      <c r="F149" s="34">
        <v>0.55000000000000004</v>
      </c>
      <c r="G149" s="34">
        <v>0.25900000000000001</v>
      </c>
    </row>
    <row r="150" spans="1:7" hidden="1" x14ac:dyDescent="0.25">
      <c r="A150" s="74">
        <v>14.414622192752326</v>
      </c>
      <c r="B150" s="75">
        <v>35</v>
      </c>
      <c r="C150" s="76" t="s">
        <v>42</v>
      </c>
      <c r="D150" s="77">
        <v>0.12438614469815149</v>
      </c>
      <c r="E150" s="35">
        <v>0.15790717414309749</v>
      </c>
      <c r="F150" s="34">
        <v>0.55000000000000004</v>
      </c>
      <c r="G150" s="34">
        <v>0.25900000000000001</v>
      </c>
    </row>
    <row r="151" spans="1:7" hidden="1" x14ac:dyDescent="0.25">
      <c r="A151" s="74">
        <v>17.790112255608332</v>
      </c>
      <c r="B151" s="75">
        <v>40</v>
      </c>
      <c r="C151" s="76" t="s">
        <v>42</v>
      </c>
      <c r="D151" s="77">
        <v>0.14215559394074456</v>
      </c>
      <c r="E151" s="35">
        <v>0.1804653418778257</v>
      </c>
      <c r="F151" s="34">
        <v>0.55000000000000004</v>
      </c>
      <c r="G151" s="34">
        <v>0.25900000000000001</v>
      </c>
    </row>
    <row r="152" spans="1:7" hidden="1" x14ac:dyDescent="0.25">
      <c r="A152" s="68">
        <v>7.1621437728740966</v>
      </c>
      <c r="B152" s="69">
        <v>20</v>
      </c>
      <c r="C152" s="70" t="s">
        <v>43</v>
      </c>
      <c r="D152" s="71">
        <v>1.8469139953884307E-2</v>
      </c>
      <c r="E152" s="73">
        <v>3.079439737450931E-2</v>
      </c>
      <c r="F152" s="72">
        <v>0.74</v>
      </c>
      <c r="G152" s="72">
        <v>0.22900000000000001</v>
      </c>
    </row>
    <row r="153" spans="1:7" hidden="1" x14ac:dyDescent="0.25">
      <c r="A153" s="68">
        <v>8.9526797160926215</v>
      </c>
      <c r="B153" s="69">
        <v>25</v>
      </c>
      <c r="C153" s="70" t="s">
        <v>43</v>
      </c>
      <c r="D153" s="71">
        <v>2.3086424942355382E-2</v>
      </c>
      <c r="E153" s="73">
        <v>3.8492996718136628E-2</v>
      </c>
      <c r="F153" s="72">
        <v>0.74</v>
      </c>
      <c r="G153" s="72">
        <v>0.22900000000000001</v>
      </c>
    </row>
    <row r="154" spans="1:7" hidden="1" x14ac:dyDescent="0.25">
      <c r="A154" s="68">
        <v>11.395080743642968</v>
      </c>
      <c r="B154" s="69">
        <v>30</v>
      </c>
      <c r="C154" s="70" t="s">
        <v>43</v>
      </c>
      <c r="D154" s="71">
        <v>4.9293523056054722E-2</v>
      </c>
      <c r="E154" s="73">
        <v>8.21892270440258E-2</v>
      </c>
      <c r="F154" s="72">
        <v>0.74</v>
      </c>
      <c r="G154" s="72">
        <v>0.22900000000000001</v>
      </c>
    </row>
    <row r="155" spans="1:7" hidden="1" x14ac:dyDescent="0.25">
      <c r="A155" s="68">
        <v>13.294260867583462</v>
      </c>
      <c r="B155" s="69">
        <v>35</v>
      </c>
      <c r="C155" s="70" t="s">
        <v>43</v>
      </c>
      <c r="D155" s="71">
        <v>4.4133364500346293E-2</v>
      </c>
      <c r="E155" s="73">
        <v>7.3585471077222395E-2</v>
      </c>
      <c r="F155" s="72">
        <v>0.74</v>
      </c>
      <c r="G155" s="72">
        <v>0.22900000000000001</v>
      </c>
    </row>
    <row r="156" spans="1:7" hidden="1" x14ac:dyDescent="0.25">
      <c r="A156" s="68">
        <v>15.546236450483292</v>
      </c>
      <c r="B156" s="69">
        <v>40</v>
      </c>
      <c r="C156" s="70" t="s">
        <v>43</v>
      </c>
      <c r="D156" s="71">
        <v>9.4288643108610765E-2</v>
      </c>
      <c r="E156" s="73">
        <v>0.15721154049618813</v>
      </c>
      <c r="F156" s="72">
        <v>0.74</v>
      </c>
      <c r="G156" s="72">
        <v>0.22900000000000001</v>
      </c>
    </row>
    <row r="157" spans="1:7" hidden="1" x14ac:dyDescent="0.25">
      <c r="A157" s="74">
        <v>7.3146093962009386</v>
      </c>
      <c r="B157" s="75">
        <v>20</v>
      </c>
      <c r="C157" s="76" t="s">
        <v>44</v>
      </c>
      <c r="D157" s="77">
        <v>1.7920503247184628E-2</v>
      </c>
      <c r="E157" s="35">
        <v>2.6073137524437157E-2</v>
      </c>
      <c r="F157" s="34">
        <v>0.64</v>
      </c>
      <c r="G157" s="34">
        <v>0.24</v>
      </c>
    </row>
    <row r="158" spans="1:7" hidden="1" x14ac:dyDescent="0.25">
      <c r="A158" s="74">
        <v>9.1432617452511735</v>
      </c>
      <c r="B158" s="75">
        <v>25</v>
      </c>
      <c r="C158" s="76" t="s">
        <v>44</v>
      </c>
      <c r="D158" s="77">
        <v>2.2400629058980784E-2</v>
      </c>
      <c r="E158" s="35">
        <v>3.2591421905546439E-2</v>
      </c>
      <c r="F158" s="34">
        <v>0.64</v>
      </c>
      <c r="G158" s="34">
        <v>0.24</v>
      </c>
    </row>
    <row r="159" spans="1:7" hidden="1" x14ac:dyDescent="0.25">
      <c r="A159" s="74">
        <v>11.407121694216134</v>
      </c>
      <c r="B159" s="75">
        <v>30</v>
      </c>
      <c r="C159" s="76" t="s">
        <v>44</v>
      </c>
      <c r="D159" s="77">
        <v>5.4433981189938044E-2</v>
      </c>
      <c r="E159" s="35">
        <v>7.9197813699280514E-2</v>
      </c>
      <c r="F159" s="34">
        <v>0.64</v>
      </c>
      <c r="G159" s="34">
        <v>0.24</v>
      </c>
    </row>
    <row r="160" spans="1:7" hidden="1" x14ac:dyDescent="0.25">
      <c r="A160" s="74">
        <v>13.308308643252156</v>
      </c>
      <c r="B160" s="75">
        <v>35</v>
      </c>
      <c r="C160" s="76" t="s">
        <v>44</v>
      </c>
      <c r="D160" s="77">
        <v>6.3506311388261058E-2</v>
      </c>
      <c r="E160" s="35">
        <v>9.2397449315827287E-2</v>
      </c>
      <c r="F160" s="34">
        <v>0.64</v>
      </c>
      <c r="G160" s="34">
        <v>0.24</v>
      </c>
    </row>
    <row r="161" spans="1:7" hidden="1" x14ac:dyDescent="0.25">
      <c r="A161" s="74">
        <v>15.209495592288178</v>
      </c>
      <c r="B161" s="75">
        <v>40</v>
      </c>
      <c r="C161" s="76" t="s">
        <v>44</v>
      </c>
      <c r="D161" s="77">
        <v>7.2578641586584058E-2</v>
      </c>
      <c r="E161" s="35">
        <v>0.10559708493237403</v>
      </c>
      <c r="F161" s="34">
        <v>0.64</v>
      </c>
      <c r="G161" s="34">
        <v>0.24</v>
      </c>
    </row>
    <row r="162" spans="1:7" hidden="1" x14ac:dyDescent="0.25">
      <c r="A162" s="68">
        <v>7.0062355496391788</v>
      </c>
      <c r="B162" s="69">
        <v>20</v>
      </c>
      <c r="C162" s="70" t="s">
        <v>109</v>
      </c>
      <c r="D162" s="71">
        <v>1.7414482645901213E-2</v>
      </c>
      <c r="E162" s="73">
        <v>2.2564090284982921E-2</v>
      </c>
      <c r="F162" s="72">
        <v>0.55000000000000004</v>
      </c>
      <c r="G162" s="72">
        <v>0.28499999999999998</v>
      </c>
    </row>
    <row r="163" spans="1:7" hidden="1" x14ac:dyDescent="0.25">
      <c r="A163" s="68">
        <v>8.7577944370489735</v>
      </c>
      <c r="B163" s="69">
        <v>25</v>
      </c>
      <c r="C163" s="70" t="s">
        <v>109</v>
      </c>
      <c r="D163" s="71">
        <v>2.1768103307376517E-2</v>
      </c>
      <c r="E163" s="73">
        <v>2.8205112856228648E-2</v>
      </c>
      <c r="F163" s="72">
        <v>0.55000000000000004</v>
      </c>
      <c r="G163" s="72">
        <v>0.28499999999999998</v>
      </c>
    </row>
    <row r="164" spans="1:7" hidden="1" x14ac:dyDescent="0.25">
      <c r="A164" s="68">
        <v>10.509353324458768</v>
      </c>
      <c r="B164" s="69">
        <v>30</v>
      </c>
      <c r="C164" s="70" t="s">
        <v>109</v>
      </c>
      <c r="D164" s="71">
        <v>2.6121723968851821E-2</v>
      </c>
      <c r="E164" s="73">
        <v>3.3846135427474382E-2</v>
      </c>
      <c r="F164" s="72">
        <v>0.55000000000000004</v>
      </c>
      <c r="G164" s="72">
        <v>0.28499999999999998</v>
      </c>
    </row>
    <row r="165" spans="1:7" hidden="1" x14ac:dyDescent="0.25">
      <c r="A165" s="68">
        <v>13.160813864729395</v>
      </c>
      <c r="B165" s="69">
        <v>35</v>
      </c>
      <c r="C165" s="70" t="s">
        <v>109</v>
      </c>
      <c r="D165" s="71">
        <v>6.1389279326479446E-2</v>
      </c>
      <c r="E165" s="73">
        <v>7.9542600800647137E-2</v>
      </c>
      <c r="F165" s="72">
        <v>0.55000000000000004</v>
      </c>
      <c r="G165" s="72">
        <v>0.28499999999999998</v>
      </c>
    </row>
    <row r="166" spans="1:7" hidden="1" x14ac:dyDescent="0.25">
      <c r="A166" s="68">
        <v>15.040930131119307</v>
      </c>
      <c r="B166" s="69">
        <v>40</v>
      </c>
      <c r="C166" s="70" t="s">
        <v>109</v>
      </c>
      <c r="D166" s="71">
        <v>7.0159176373119372E-2</v>
      </c>
      <c r="E166" s="73">
        <v>9.0905829486453871E-2</v>
      </c>
      <c r="F166" s="72">
        <v>0.55000000000000004</v>
      </c>
      <c r="G166" s="72">
        <v>0.28499999999999998</v>
      </c>
    </row>
    <row r="167" spans="1:7" hidden="1" x14ac:dyDescent="0.25">
      <c r="A167" s="74">
        <v>7.7996427763608436</v>
      </c>
      <c r="B167" s="75">
        <v>20</v>
      </c>
      <c r="C167" s="76" t="s">
        <v>208</v>
      </c>
      <c r="D167" s="77">
        <v>0.10742808270298149</v>
      </c>
      <c r="E167" s="35">
        <v>0.13919546199227564</v>
      </c>
      <c r="F167" s="34">
        <v>0.55000000000000004</v>
      </c>
      <c r="G167" s="34">
        <v>0.28499999999999998</v>
      </c>
    </row>
    <row r="168" spans="1:7" hidden="1" x14ac:dyDescent="0.25">
      <c r="A168" s="74">
        <v>9.7495534704510547</v>
      </c>
      <c r="B168" s="75">
        <v>25</v>
      </c>
      <c r="C168" s="76" t="s">
        <v>208</v>
      </c>
      <c r="D168" s="77">
        <v>0.13428510337872684</v>
      </c>
      <c r="E168" s="35">
        <v>0.17399432749034452</v>
      </c>
      <c r="F168" s="34">
        <v>0.55000000000000004</v>
      </c>
      <c r="G168" s="34">
        <v>0.28499999999999998</v>
      </c>
    </row>
    <row r="169" spans="1:7" hidden="1" x14ac:dyDescent="0.25">
      <c r="A169" s="74">
        <v>11.699464164541265</v>
      </c>
      <c r="B169" s="75">
        <v>30</v>
      </c>
      <c r="C169" s="76" t="s">
        <v>208</v>
      </c>
      <c r="D169" s="77">
        <v>0.16114212405447223</v>
      </c>
      <c r="E169" s="35">
        <v>0.20879319298841345</v>
      </c>
      <c r="F169" s="34">
        <v>0.55000000000000004</v>
      </c>
      <c r="G169" s="34">
        <v>0.28499999999999998</v>
      </c>
    </row>
    <row r="170" spans="1:7" hidden="1" x14ac:dyDescent="0.25">
      <c r="A170" s="74">
        <v>13.649374858631475</v>
      </c>
      <c r="B170" s="75">
        <v>35</v>
      </c>
      <c r="C170" s="76" t="s">
        <v>208</v>
      </c>
      <c r="D170" s="77">
        <v>0.18799914473021759</v>
      </c>
      <c r="E170" s="35">
        <v>0.24359205848648233</v>
      </c>
      <c r="F170" s="34">
        <v>0.55000000000000004</v>
      </c>
      <c r="G170" s="34">
        <v>0.28499999999999998</v>
      </c>
    </row>
    <row r="171" spans="1:7" hidden="1" x14ac:dyDescent="0.25">
      <c r="A171" s="74">
        <v>15.599285552721687</v>
      </c>
      <c r="B171" s="75">
        <v>40</v>
      </c>
      <c r="C171" s="76" t="s">
        <v>208</v>
      </c>
      <c r="D171" s="77">
        <v>0.21485616540596297</v>
      </c>
      <c r="E171" s="35">
        <v>0.27839092398455129</v>
      </c>
      <c r="F171" s="34">
        <v>0.55000000000000004</v>
      </c>
      <c r="G171" s="34">
        <v>0.28499999999999998</v>
      </c>
    </row>
    <row r="172" spans="1:7" hidden="1" x14ac:dyDescent="0.25">
      <c r="A172" s="68">
        <v>10.037338900710644</v>
      </c>
      <c r="B172" s="69">
        <v>20</v>
      </c>
      <c r="C172" s="70" t="s">
        <v>46</v>
      </c>
      <c r="D172" s="71">
        <v>3.3503830928553087E-2</v>
      </c>
      <c r="E172" s="73">
        <v>5.5735242101476262E-2</v>
      </c>
      <c r="F172" s="72">
        <v>0.73</v>
      </c>
      <c r="G172" s="72">
        <v>0.24299999999999999</v>
      </c>
    </row>
    <row r="173" spans="1:7" hidden="1" x14ac:dyDescent="0.25">
      <c r="A173" s="68">
        <v>13.498956530660177</v>
      </c>
      <c r="B173" s="69">
        <v>25</v>
      </c>
      <c r="C173" s="70" t="s">
        <v>46</v>
      </c>
      <c r="D173" s="71">
        <v>5.8341290419510826E-2</v>
      </c>
      <c r="E173" s="73">
        <v>9.7053556441893188E-2</v>
      </c>
      <c r="F173" s="72">
        <v>0.73</v>
      </c>
      <c r="G173" s="72">
        <v>0.24299999999999999</v>
      </c>
    </row>
    <row r="174" spans="1:7" hidden="1" x14ac:dyDescent="0.25">
      <c r="A174" s="68">
        <v>16.56150113446283</v>
      </c>
      <c r="B174" s="69">
        <v>30</v>
      </c>
      <c r="C174" s="70" t="s">
        <v>46</v>
      </c>
      <c r="D174" s="71">
        <v>0.10075270942259493</v>
      </c>
      <c r="E174" s="73">
        <v>0.16760700183877539</v>
      </c>
      <c r="F174" s="72">
        <v>0.73</v>
      </c>
      <c r="G174" s="72">
        <v>0.24299999999999999</v>
      </c>
    </row>
    <row r="175" spans="1:7" hidden="1" x14ac:dyDescent="0.25">
      <c r="A175" s="68">
        <v>19.321751323539967</v>
      </c>
      <c r="B175" s="69">
        <v>35</v>
      </c>
      <c r="C175" s="70" t="s">
        <v>46</v>
      </c>
      <c r="D175" s="71">
        <v>0.11754482765969408</v>
      </c>
      <c r="E175" s="73">
        <v>0.19554150214523794</v>
      </c>
      <c r="F175" s="72">
        <v>0.73</v>
      </c>
      <c r="G175" s="72">
        <v>0.24299999999999999</v>
      </c>
    </row>
    <row r="176" spans="1:7" hidden="1" x14ac:dyDescent="0.25">
      <c r="A176" s="68">
        <v>22.08889122049407</v>
      </c>
      <c r="B176" s="69">
        <v>40</v>
      </c>
      <c r="C176" s="70" t="s">
        <v>46</v>
      </c>
      <c r="D176" s="71">
        <v>0.17605825136816797</v>
      </c>
      <c r="E176" s="73">
        <v>0.29288141063309686</v>
      </c>
      <c r="F176" s="72">
        <v>0.73</v>
      </c>
      <c r="G176" s="72">
        <v>0.24299999999999999</v>
      </c>
    </row>
    <row r="177" spans="1:7" hidden="1" x14ac:dyDescent="0.25">
      <c r="A177" s="74">
        <v>24.078689156162341</v>
      </c>
      <c r="B177" s="75">
        <v>20</v>
      </c>
      <c r="C177" s="76" t="s">
        <v>47</v>
      </c>
      <c r="D177" s="77">
        <v>0.31777502341536062</v>
      </c>
      <c r="E177" s="35">
        <v>0.32939499677158235</v>
      </c>
      <c r="F177" s="34">
        <v>0.44</v>
      </c>
      <c r="G177" s="34">
        <v>0.28499999999999998</v>
      </c>
    </row>
    <row r="178" spans="1:7" hidden="1" x14ac:dyDescent="0.25">
      <c r="A178" s="74">
        <v>32.204222617669629</v>
      </c>
      <c r="B178" s="75">
        <v>25</v>
      </c>
      <c r="C178" s="76" t="s">
        <v>47</v>
      </c>
      <c r="D178" s="77">
        <v>0.55930534071995763</v>
      </c>
      <c r="E178" s="35">
        <v>0.57975727267895072</v>
      </c>
      <c r="F178" s="34">
        <v>0.44</v>
      </c>
      <c r="G178" s="34">
        <v>0.28499999999999998</v>
      </c>
    </row>
    <row r="179" spans="1:7" hidden="1" x14ac:dyDescent="0.25">
      <c r="A179" s="74">
        <v>39.59298412321337</v>
      </c>
      <c r="B179" s="75">
        <v>30</v>
      </c>
      <c r="C179" s="76" t="s">
        <v>47</v>
      </c>
      <c r="D179" s="77">
        <v>1.1056419210053683</v>
      </c>
      <c r="E179" s="35">
        <v>1.1460715605834644</v>
      </c>
      <c r="F179" s="34">
        <v>0.44</v>
      </c>
      <c r="G179" s="34">
        <v>0.28499999999999998</v>
      </c>
    </row>
    <row r="180" spans="1:7" hidden="1" x14ac:dyDescent="0.25">
      <c r="A180" s="74">
        <v>48.003730575633305</v>
      </c>
      <c r="B180" s="75">
        <v>35</v>
      </c>
      <c r="C180" s="76" t="s">
        <v>47</v>
      </c>
      <c r="D180" s="77">
        <v>1.7462315731181992</v>
      </c>
      <c r="E180" s="35">
        <v>1.8100854409752209</v>
      </c>
      <c r="F180" s="34">
        <v>0.44</v>
      </c>
      <c r="G180" s="34">
        <v>0.28499999999999998</v>
      </c>
    </row>
    <row r="181" spans="1:7" hidden="1" x14ac:dyDescent="0.25">
      <c r="A181" s="74">
        <v>56.562952209018967</v>
      </c>
      <c r="B181" s="75">
        <v>40</v>
      </c>
      <c r="C181" s="76" t="s">
        <v>47</v>
      </c>
      <c r="D181" s="77">
        <v>2.6150138968397703</v>
      </c>
      <c r="E181" s="35">
        <v>2.7106362383342106</v>
      </c>
      <c r="F181" s="34">
        <v>0.44</v>
      </c>
      <c r="G181" s="34">
        <v>0.28499999999999998</v>
      </c>
    </row>
    <row r="182" spans="1:7" hidden="1" x14ac:dyDescent="0.25">
      <c r="A182" s="68">
        <v>9.493565735822548</v>
      </c>
      <c r="B182" s="69">
        <v>20</v>
      </c>
      <c r="C182" s="70" t="s">
        <v>48</v>
      </c>
      <c r="D182" s="71">
        <v>2.5368496278808071E-2</v>
      </c>
      <c r="E182" s="73">
        <v>3.6880635328476907E-2</v>
      </c>
      <c r="F182" s="72">
        <v>0.62</v>
      </c>
      <c r="G182" s="72">
        <v>0.27900000000000003</v>
      </c>
    </row>
    <row r="183" spans="1:7" hidden="1" x14ac:dyDescent="0.25">
      <c r="A183" s="68">
        <v>12.418256824453039</v>
      </c>
      <c r="B183" s="69">
        <v>25</v>
      </c>
      <c r="C183" s="70" t="s">
        <v>48</v>
      </c>
      <c r="D183" s="71">
        <v>6.40322140670921E-2</v>
      </c>
      <c r="E183" s="73">
        <v>9.3089819370024932E-2</v>
      </c>
      <c r="F183" s="72">
        <v>0.62</v>
      </c>
      <c r="G183" s="72">
        <v>0.27900000000000003</v>
      </c>
    </row>
    <row r="184" spans="1:7" hidden="1" x14ac:dyDescent="0.25">
      <c r="A184" s="68">
        <v>14.901908189343647</v>
      </c>
      <c r="B184" s="69">
        <v>30</v>
      </c>
      <c r="C184" s="70" t="s">
        <v>48</v>
      </c>
      <c r="D184" s="71">
        <v>7.6838656880510517E-2</v>
      </c>
      <c r="E184" s="73">
        <v>0.11170778324402991</v>
      </c>
      <c r="F184" s="72">
        <v>0.62</v>
      </c>
      <c r="G184" s="72">
        <v>0.27900000000000003</v>
      </c>
    </row>
    <row r="185" spans="1:7" hidden="1" x14ac:dyDescent="0.25">
      <c r="A185" s="68">
        <v>17.329821156245668</v>
      </c>
      <c r="B185" s="69">
        <v>35</v>
      </c>
      <c r="C185" s="70" t="s">
        <v>48</v>
      </c>
      <c r="D185" s="71">
        <v>0.13420830181283941</v>
      </c>
      <c r="E185" s="73">
        <v>0.19511158181449983</v>
      </c>
      <c r="F185" s="72">
        <v>0.62</v>
      </c>
      <c r="G185" s="72">
        <v>0.27900000000000003</v>
      </c>
    </row>
    <row r="186" spans="1:7" hidden="1" x14ac:dyDescent="0.25">
      <c r="A186" s="68">
        <v>19.805509892852193</v>
      </c>
      <c r="B186" s="69">
        <v>40</v>
      </c>
      <c r="C186" s="70" t="s">
        <v>48</v>
      </c>
      <c r="D186" s="71">
        <v>0.15338091635753076</v>
      </c>
      <c r="E186" s="73">
        <v>0.222984664930857</v>
      </c>
      <c r="F186" s="72">
        <v>0.62</v>
      </c>
      <c r="G186" s="72">
        <v>0.27900000000000003</v>
      </c>
    </row>
    <row r="187" spans="1:7" hidden="1" x14ac:dyDescent="0.25">
      <c r="A187" s="74">
        <v>6.9076754635913691</v>
      </c>
      <c r="B187" s="75">
        <v>20</v>
      </c>
      <c r="C187" s="76" t="s">
        <v>49</v>
      </c>
      <c r="D187" s="77">
        <v>2.3631844082256638E-2</v>
      </c>
      <c r="E187" s="35">
        <v>3.6603166366973285E-2</v>
      </c>
      <c r="F187" s="34">
        <v>0.61</v>
      </c>
      <c r="G187" s="34">
        <v>0.38500000000000001</v>
      </c>
    </row>
    <row r="188" spans="1:7" hidden="1" x14ac:dyDescent="0.25">
      <c r="A188" s="74">
        <v>8.6345943294892127</v>
      </c>
      <c r="B188" s="75">
        <v>25</v>
      </c>
      <c r="C188" s="76" t="s">
        <v>49</v>
      </c>
      <c r="D188" s="77">
        <v>2.9539805102820796E-2</v>
      </c>
      <c r="E188" s="35">
        <v>4.5753957958716604E-2</v>
      </c>
      <c r="F188" s="34">
        <v>0.61</v>
      </c>
      <c r="G188" s="34">
        <v>0.38500000000000001</v>
      </c>
    </row>
    <row r="189" spans="1:7" hidden="1" x14ac:dyDescent="0.25">
      <c r="A189" s="74">
        <v>10.556875164951174</v>
      </c>
      <c r="B189" s="75">
        <v>30</v>
      </c>
      <c r="C189" s="76" t="s">
        <v>49</v>
      </c>
      <c r="D189" s="77">
        <v>5.8196712673332089E-2</v>
      </c>
      <c r="E189" s="35">
        <v>9.0140403287118462E-2</v>
      </c>
      <c r="F189" s="34">
        <v>0.61</v>
      </c>
      <c r="G189" s="34">
        <v>0.38500000000000001</v>
      </c>
    </row>
    <row r="190" spans="1:7" hidden="1" x14ac:dyDescent="0.25">
      <c r="A190" s="74">
        <v>12.316354359109704</v>
      </c>
      <c r="B190" s="75">
        <v>35</v>
      </c>
      <c r="C190" s="76" t="s">
        <v>49</v>
      </c>
      <c r="D190" s="77">
        <v>6.7896164785554103E-2</v>
      </c>
      <c r="E190" s="35">
        <v>0.10516380383497152</v>
      </c>
      <c r="F190" s="34">
        <v>0.61</v>
      </c>
      <c r="G190" s="34">
        <v>0.38500000000000001</v>
      </c>
    </row>
    <row r="191" spans="1:7" hidden="1" x14ac:dyDescent="0.25">
      <c r="A191" s="74">
        <v>14.075833553268232</v>
      </c>
      <c r="B191" s="75">
        <v>40</v>
      </c>
      <c r="C191" s="76" t="s">
        <v>49</v>
      </c>
      <c r="D191" s="77">
        <v>7.759561689777611E-2</v>
      </c>
      <c r="E191" s="35">
        <v>0.12018720438282458</v>
      </c>
      <c r="F191" s="34">
        <v>0.61</v>
      </c>
      <c r="G191" s="34">
        <v>0.38500000000000001</v>
      </c>
    </row>
    <row r="192" spans="1:7" hidden="1" x14ac:dyDescent="0.25">
      <c r="A192" s="68">
        <v>21.365238756543103</v>
      </c>
      <c r="B192" s="69">
        <v>20</v>
      </c>
      <c r="C192" s="70" t="s">
        <v>110</v>
      </c>
      <c r="D192" s="71">
        <v>0.13331567677235068</v>
      </c>
      <c r="E192" s="73">
        <v>0.20654286732427818</v>
      </c>
      <c r="F192" s="72">
        <v>0.62</v>
      </c>
      <c r="G192" s="72">
        <v>0.36299999999999999</v>
      </c>
    </row>
    <row r="193" spans="1:7" hidden="1" x14ac:dyDescent="0.25">
      <c r="A193" s="68">
        <v>27.357585528931562</v>
      </c>
      <c r="B193" s="69">
        <v>25</v>
      </c>
      <c r="C193" s="70" t="s">
        <v>110</v>
      </c>
      <c r="D193" s="71">
        <v>0.29653007932906505</v>
      </c>
      <c r="E193" s="73">
        <v>0.45940713286933604</v>
      </c>
      <c r="F193" s="72">
        <v>0.62</v>
      </c>
      <c r="G193" s="72">
        <v>0.36299999999999999</v>
      </c>
    </row>
    <row r="194" spans="1:7" hidden="1" x14ac:dyDescent="0.25">
      <c r="A194" s="68">
        <v>32.716421072802603</v>
      </c>
      <c r="B194" s="69">
        <v>30</v>
      </c>
      <c r="C194" s="70" t="s">
        <v>110</v>
      </c>
      <c r="D194" s="71">
        <v>0.43352669931402832</v>
      </c>
      <c r="E194" s="73">
        <v>0.67165279962424007</v>
      </c>
      <c r="F194" s="72">
        <v>0.62</v>
      </c>
      <c r="G194" s="72">
        <v>0.36299999999999999</v>
      </c>
    </row>
    <row r="195" spans="1:7" hidden="1" x14ac:dyDescent="0.25">
      <c r="A195" s="68">
        <v>37.842747167200073</v>
      </c>
      <c r="B195" s="69">
        <v>35</v>
      </c>
      <c r="C195" s="70" t="s">
        <v>110</v>
      </c>
      <c r="D195" s="71">
        <v>0.59561593058269391</v>
      </c>
      <c r="E195" s="73">
        <v>0.92277386354672075</v>
      </c>
      <c r="F195" s="72">
        <v>0.62</v>
      </c>
      <c r="G195" s="72">
        <v>0.36299999999999999</v>
      </c>
    </row>
    <row r="196" spans="1:7" hidden="1" x14ac:dyDescent="0.25">
      <c r="A196" s="68">
        <v>42.736691527154122</v>
      </c>
      <c r="B196" s="69">
        <v>40</v>
      </c>
      <c r="C196" s="70" t="s">
        <v>110</v>
      </c>
      <c r="D196" s="71">
        <v>0.81528022188747196</v>
      </c>
      <c r="E196" s="73">
        <v>1.2630946245650829</v>
      </c>
      <c r="F196" s="72">
        <v>0.62</v>
      </c>
      <c r="G196" s="72">
        <v>0.36299999999999999</v>
      </c>
    </row>
    <row r="197" spans="1:7" hidden="1" x14ac:dyDescent="0.25">
      <c r="A197" s="74">
        <v>21.365238756543103</v>
      </c>
      <c r="B197" s="75">
        <v>20</v>
      </c>
      <c r="C197" s="76" t="s">
        <v>52</v>
      </c>
      <c r="D197" s="77">
        <v>0.18430681403256532</v>
      </c>
      <c r="E197" s="35">
        <v>0.28554224648832599</v>
      </c>
      <c r="F197" s="34">
        <v>0.62</v>
      </c>
      <c r="G197" s="34">
        <v>0.36299999999999999</v>
      </c>
    </row>
    <row r="198" spans="1:7" hidden="1" x14ac:dyDescent="0.25">
      <c r="A198" s="74">
        <v>27.357585528931562</v>
      </c>
      <c r="B198" s="75">
        <v>25</v>
      </c>
      <c r="C198" s="76" t="s">
        <v>52</v>
      </c>
      <c r="D198" s="77">
        <v>0.46475194136522141</v>
      </c>
      <c r="E198" s="35">
        <v>0.72002933854517226</v>
      </c>
      <c r="F198" s="34">
        <v>0.62</v>
      </c>
      <c r="G198" s="34">
        <v>0.36299999999999999</v>
      </c>
    </row>
    <row r="199" spans="1:7" hidden="1" x14ac:dyDescent="0.25">
      <c r="A199" s="74">
        <v>32.716421072802603</v>
      </c>
      <c r="B199" s="75">
        <v>30</v>
      </c>
      <c r="C199" s="76" t="s">
        <v>52</v>
      </c>
      <c r="D199" s="77">
        <v>0.64962248187758487</v>
      </c>
      <c r="E199" s="35">
        <v>1.0064449533150317</v>
      </c>
      <c r="F199" s="34">
        <v>0.62</v>
      </c>
      <c r="G199" s="34">
        <v>0.36299999999999999</v>
      </c>
    </row>
    <row r="200" spans="1:7" hidden="1" x14ac:dyDescent="0.25">
      <c r="A200" s="74">
        <v>37.842747167200073</v>
      </c>
      <c r="B200" s="75">
        <v>35</v>
      </c>
      <c r="C200" s="76" t="s">
        <v>52</v>
      </c>
      <c r="D200" s="77">
        <v>0.93269311968610946</v>
      </c>
      <c r="E200" s="35">
        <v>1.44499968749023</v>
      </c>
      <c r="F200" s="34">
        <v>0.62</v>
      </c>
      <c r="G200" s="34">
        <v>0.36299999999999999</v>
      </c>
    </row>
    <row r="201" spans="1:7" hidden="1" x14ac:dyDescent="0.25">
      <c r="A201" s="74">
        <v>42.736691527154122</v>
      </c>
      <c r="B201" s="75">
        <v>40</v>
      </c>
      <c r="C201" s="76" t="s">
        <v>52</v>
      </c>
      <c r="D201" s="77">
        <v>1.2235395364888055</v>
      </c>
      <c r="E201" s="35">
        <v>1.8956012546262551</v>
      </c>
      <c r="F201" s="34">
        <v>0.62</v>
      </c>
      <c r="G201" s="34">
        <v>0.36299999999999999</v>
      </c>
    </row>
    <row r="202" spans="1:7" x14ac:dyDescent="0.25">
      <c r="A202" s="68">
        <v>21.365238756543103</v>
      </c>
      <c r="B202" s="69">
        <v>20</v>
      </c>
      <c r="C202" s="70" t="s">
        <v>209</v>
      </c>
      <c r="D202" s="71">
        <v>0.21841359949394204</v>
      </c>
      <c r="E202" s="73">
        <v>0.33838309337864286</v>
      </c>
      <c r="F202" s="72">
        <v>0.62</v>
      </c>
      <c r="G202" s="72">
        <v>0.36299999999999999</v>
      </c>
    </row>
    <row r="203" spans="1:7" x14ac:dyDescent="0.25">
      <c r="A203" s="68">
        <v>27.357585528931562</v>
      </c>
      <c r="B203" s="69">
        <v>25</v>
      </c>
      <c r="C203" s="70" t="s">
        <v>209</v>
      </c>
      <c r="D203" s="71">
        <v>0.51973169525491636</v>
      </c>
      <c r="E203" s="73">
        <v>0.80520818838555264</v>
      </c>
      <c r="F203" s="72">
        <v>0.62</v>
      </c>
      <c r="G203" s="72">
        <v>0.36299999999999999</v>
      </c>
    </row>
    <row r="204" spans="1:7" x14ac:dyDescent="0.25">
      <c r="A204" s="68">
        <v>32.716421072802603</v>
      </c>
      <c r="B204" s="69">
        <v>30</v>
      </c>
      <c r="C204" s="70" t="s">
        <v>209</v>
      </c>
      <c r="D204" s="71">
        <v>0.75996873280127686</v>
      </c>
      <c r="E204" s="73">
        <v>1.1774018251252529</v>
      </c>
      <c r="F204" s="72">
        <v>0.62</v>
      </c>
      <c r="G204" s="72">
        <v>0.36299999999999999</v>
      </c>
    </row>
    <row r="205" spans="1:7" x14ac:dyDescent="0.25">
      <c r="A205" s="68">
        <v>37.842747167200073</v>
      </c>
      <c r="B205" s="69">
        <v>35</v>
      </c>
      <c r="C205" s="70" t="s">
        <v>209</v>
      </c>
      <c r="D205" s="71">
        <v>1.0033584896898251</v>
      </c>
      <c r="E205" s="73">
        <v>1.5544798963783533</v>
      </c>
      <c r="F205" s="72">
        <v>0.62</v>
      </c>
      <c r="G205" s="72">
        <v>0.36299999999999999</v>
      </c>
    </row>
    <row r="206" spans="1:7" x14ac:dyDescent="0.25">
      <c r="A206" s="68">
        <v>42.736691527154122</v>
      </c>
      <c r="B206" s="69">
        <v>40</v>
      </c>
      <c r="C206" s="70" t="s">
        <v>209</v>
      </c>
      <c r="D206" s="71">
        <v>1.3062334225151486</v>
      </c>
      <c r="E206" s="73">
        <v>2.0237169627228608</v>
      </c>
      <c r="F206" s="72">
        <v>0.62</v>
      </c>
      <c r="G206" s="72">
        <v>0.36299999999999999</v>
      </c>
    </row>
    <row r="207" spans="1:7" hidden="1" x14ac:dyDescent="0.25">
      <c r="A207" s="74">
        <v>21.365238756543103</v>
      </c>
      <c r="B207" s="75">
        <v>20</v>
      </c>
      <c r="C207" s="76" t="s">
        <v>54</v>
      </c>
      <c r="D207" s="77">
        <v>0.1588783245860548</v>
      </c>
      <c r="E207" s="35">
        <v>0.35046440026022546</v>
      </c>
      <c r="F207" s="34">
        <v>0.8</v>
      </c>
      <c r="G207" s="34">
        <v>0.504</v>
      </c>
    </row>
    <row r="208" spans="1:7" hidden="1" x14ac:dyDescent="0.25">
      <c r="A208" s="74">
        <v>27.357585528931562</v>
      </c>
      <c r="B208" s="75">
        <v>25</v>
      </c>
      <c r="C208" s="76" t="s">
        <v>54</v>
      </c>
      <c r="D208" s="77">
        <v>0.33067416033692204</v>
      </c>
      <c r="E208" s="35">
        <v>0.72942310781520503</v>
      </c>
      <c r="F208" s="34">
        <v>0.8</v>
      </c>
      <c r="G208" s="34">
        <v>0.504</v>
      </c>
    </row>
    <row r="209" spans="1:7" hidden="1" x14ac:dyDescent="0.25">
      <c r="A209" s="74">
        <v>32.716421072802603</v>
      </c>
      <c r="B209" s="75">
        <v>30</v>
      </c>
      <c r="C209" s="76" t="s">
        <v>54</v>
      </c>
      <c r="D209" s="77">
        <v>0.52057743788682687</v>
      </c>
      <c r="E209" s="35">
        <v>1.1483244176532885</v>
      </c>
      <c r="F209" s="34">
        <v>0.8</v>
      </c>
      <c r="G209" s="34">
        <v>0.504</v>
      </c>
    </row>
    <row r="210" spans="1:7" hidden="1" x14ac:dyDescent="0.25">
      <c r="A210" s="74">
        <v>37.842747167200073</v>
      </c>
      <c r="B210" s="75">
        <v>35</v>
      </c>
      <c r="C210" s="76" t="s">
        <v>54</v>
      </c>
      <c r="D210" s="77">
        <v>0.61808392924993483</v>
      </c>
      <c r="E210" s="35">
        <v>1.3634107367347896</v>
      </c>
      <c r="F210" s="34">
        <v>0.8</v>
      </c>
      <c r="G210" s="34">
        <v>0.504</v>
      </c>
    </row>
    <row r="211" spans="1:7" hidden="1" x14ac:dyDescent="0.25">
      <c r="A211" s="74">
        <v>42.736691527154122</v>
      </c>
      <c r="B211" s="75">
        <v>40</v>
      </c>
      <c r="C211" s="76" t="s">
        <v>54</v>
      </c>
      <c r="D211" s="77">
        <v>0.84738961741264107</v>
      </c>
      <c r="E211" s="35">
        <v>1.8692285107299644</v>
      </c>
      <c r="F211" s="34">
        <v>0.8</v>
      </c>
      <c r="G211" s="34">
        <v>0.504</v>
      </c>
    </row>
    <row r="212" spans="1:7" hidden="1" x14ac:dyDescent="0.25">
      <c r="A212" s="68">
        <v>24.078689156162341</v>
      </c>
      <c r="B212" s="69">
        <v>20</v>
      </c>
      <c r="C212" s="70" t="s">
        <v>210</v>
      </c>
      <c r="D212" s="71">
        <v>0.33402828749429769</v>
      </c>
      <c r="E212" s="73">
        <v>0.34624258854033912</v>
      </c>
      <c r="F212" s="72">
        <v>0.44</v>
      </c>
      <c r="G212" s="72">
        <v>0.28499999999999998</v>
      </c>
    </row>
    <row r="213" spans="1:7" hidden="1" x14ac:dyDescent="0.25">
      <c r="A213" s="68">
        <v>31.263938505917221</v>
      </c>
      <c r="B213" s="69">
        <v>25</v>
      </c>
      <c r="C213" s="70" t="s">
        <v>210</v>
      </c>
      <c r="D213" s="71">
        <v>0.61179325145087948</v>
      </c>
      <c r="E213" s="73">
        <v>0.63416449134559993</v>
      </c>
      <c r="F213" s="72">
        <v>0.44</v>
      </c>
      <c r="G213" s="72">
        <v>0.28499999999999998</v>
      </c>
    </row>
    <row r="214" spans="1:7" hidden="1" x14ac:dyDescent="0.25">
      <c r="A214" s="68">
        <v>39.59298412321337</v>
      </c>
      <c r="B214" s="69">
        <v>30</v>
      </c>
      <c r="C214" s="70" t="s">
        <v>210</v>
      </c>
      <c r="D214" s="71">
        <v>1.2507329958097388</v>
      </c>
      <c r="E214" s="73">
        <v>1.2964681323565146</v>
      </c>
      <c r="F214" s="72">
        <v>0.44</v>
      </c>
      <c r="G214" s="72">
        <v>0.28499999999999998</v>
      </c>
    </row>
    <row r="215" spans="1:7" hidden="1" x14ac:dyDescent="0.25">
      <c r="A215" s="68">
        <v>48.003730575633305</v>
      </c>
      <c r="B215" s="69">
        <v>35</v>
      </c>
      <c r="C215" s="70" t="s">
        <v>210</v>
      </c>
      <c r="D215" s="71">
        <v>2.7761715625814669</v>
      </c>
      <c r="E215" s="73">
        <v>2.8776869027198626</v>
      </c>
      <c r="F215" s="72">
        <v>0.44</v>
      </c>
      <c r="G215" s="72">
        <v>0.28499999999999998</v>
      </c>
    </row>
    <row r="216" spans="1:7" hidden="1" x14ac:dyDescent="0.25">
      <c r="A216" s="68">
        <v>56.562952209018967</v>
      </c>
      <c r="B216" s="69">
        <v>40</v>
      </c>
      <c r="C216" s="70" t="s">
        <v>210</v>
      </c>
      <c r="D216" s="71">
        <v>3.2847516435067581</v>
      </c>
      <c r="E216" s="73">
        <v>3.4048640619376549</v>
      </c>
      <c r="F216" s="72">
        <v>0.44</v>
      </c>
      <c r="G216" s="72">
        <v>0.28499999999999998</v>
      </c>
    </row>
    <row r="217" spans="1:7" hidden="1" x14ac:dyDescent="0.25">
      <c r="A217" s="74">
        <v>7.0852640677918064</v>
      </c>
      <c r="B217" s="75">
        <v>20</v>
      </c>
      <c r="C217" s="76" t="s">
        <v>180</v>
      </c>
      <c r="D217" s="77">
        <v>1.7875108881303933E-2</v>
      </c>
      <c r="E217" s="35">
        <v>4.8828839094095237E-2</v>
      </c>
      <c r="F217" s="80">
        <v>1</v>
      </c>
      <c r="G217" s="34">
        <v>0.49</v>
      </c>
    </row>
    <row r="218" spans="1:7" hidden="1" x14ac:dyDescent="0.25">
      <c r="A218" s="74">
        <v>8.8565800847397576</v>
      </c>
      <c r="B218" s="75">
        <v>25</v>
      </c>
      <c r="C218" s="76" t="s">
        <v>180</v>
      </c>
      <c r="D218" s="77">
        <v>2.2343886101629917E-2</v>
      </c>
      <c r="E218" s="35">
        <v>6.1036048867619055E-2</v>
      </c>
      <c r="F218" s="80">
        <v>1</v>
      </c>
      <c r="G218" s="34">
        <v>0.49</v>
      </c>
    </row>
    <row r="219" spans="1:7" hidden="1" x14ac:dyDescent="0.25">
      <c r="A219" s="74">
        <v>11.083771142293454</v>
      </c>
      <c r="B219" s="75">
        <v>30</v>
      </c>
      <c r="C219" s="76" t="s">
        <v>180</v>
      </c>
      <c r="D219" s="77">
        <v>4.6570343702280768E-2</v>
      </c>
      <c r="E219" s="35">
        <v>0.12721465554673028</v>
      </c>
      <c r="F219" s="80">
        <v>1</v>
      </c>
      <c r="G219" s="34">
        <v>0.49</v>
      </c>
    </row>
    <row r="220" spans="1:7" hidden="1" x14ac:dyDescent="0.25">
      <c r="A220" s="74">
        <v>12.931066332675696</v>
      </c>
      <c r="B220" s="75">
        <v>35</v>
      </c>
      <c r="C220" s="76" t="s">
        <v>180</v>
      </c>
      <c r="D220" s="77">
        <v>5.4332067652660895E-2</v>
      </c>
      <c r="E220" s="35">
        <v>0.148417098137852</v>
      </c>
      <c r="F220" s="80">
        <v>1</v>
      </c>
      <c r="G220" s="34">
        <v>0.49</v>
      </c>
    </row>
    <row r="221" spans="1:7" hidden="1" x14ac:dyDescent="0.25">
      <c r="A221" s="74">
        <v>14.778361523057939</v>
      </c>
      <c r="B221" s="75">
        <v>40</v>
      </c>
      <c r="C221" s="76" t="s">
        <v>180</v>
      </c>
      <c r="D221" s="77">
        <v>6.2093791603041029E-2</v>
      </c>
      <c r="E221" s="35">
        <v>0.16961954072897373</v>
      </c>
      <c r="F221" s="80">
        <v>1</v>
      </c>
      <c r="G221" s="34">
        <v>0.49</v>
      </c>
    </row>
    <row r="222" spans="1:7" hidden="1" x14ac:dyDescent="0.25">
      <c r="A222" s="68">
        <v>6.3861650121177487</v>
      </c>
      <c r="B222" s="69">
        <v>20</v>
      </c>
      <c r="C222" s="70" t="s">
        <v>57</v>
      </c>
      <c r="D222" s="71">
        <v>1.4848292609940923E-2</v>
      </c>
      <c r="E222" s="73">
        <v>4.1003485800888813E-2</v>
      </c>
      <c r="F222" s="72">
        <v>1.1100000000000001</v>
      </c>
      <c r="G222" s="72">
        <v>0.35699999999999998</v>
      </c>
    </row>
    <row r="223" spans="1:7" hidden="1" x14ac:dyDescent="0.25">
      <c r="A223" s="68">
        <v>7.9827062651471854</v>
      </c>
      <c r="B223" s="69">
        <v>25</v>
      </c>
      <c r="C223" s="70" t="s">
        <v>57</v>
      </c>
      <c r="D223" s="71">
        <v>1.8560365762426152E-2</v>
      </c>
      <c r="E223" s="73">
        <v>5.1254357251111014E-2</v>
      </c>
      <c r="F223" s="72">
        <v>1.1100000000000001</v>
      </c>
      <c r="G223" s="72">
        <v>0.35699999999999998</v>
      </c>
    </row>
    <row r="224" spans="1:7" hidden="1" x14ac:dyDescent="0.25">
      <c r="A224" s="68">
        <v>10.102506768679534</v>
      </c>
      <c r="B224" s="69">
        <v>30</v>
      </c>
      <c r="C224" s="70" t="s">
        <v>57</v>
      </c>
      <c r="D224" s="71">
        <v>3.5327485281266127E-2</v>
      </c>
      <c r="E224" s="73">
        <v>9.7556673966789992E-2</v>
      </c>
      <c r="F224" s="72">
        <v>1.1100000000000001</v>
      </c>
      <c r="G224" s="72">
        <v>0.35699999999999998</v>
      </c>
    </row>
    <row r="225" spans="1:7" hidden="1" x14ac:dyDescent="0.25">
      <c r="A225" s="68">
        <v>11.78625789679279</v>
      </c>
      <c r="B225" s="69">
        <v>35</v>
      </c>
      <c r="C225" s="70" t="s">
        <v>57</v>
      </c>
      <c r="D225" s="71">
        <v>4.1215399494810484E-2</v>
      </c>
      <c r="E225" s="73">
        <v>0.11381611962792167</v>
      </c>
      <c r="F225" s="72">
        <v>1.1100000000000001</v>
      </c>
      <c r="G225" s="72">
        <v>0.35699999999999998</v>
      </c>
    </row>
    <row r="226" spans="1:7" hidden="1" x14ac:dyDescent="0.25">
      <c r="A226" s="68">
        <v>13.470009024906046</v>
      </c>
      <c r="B226" s="69">
        <v>40</v>
      </c>
      <c r="C226" s="70" t="s">
        <v>57</v>
      </c>
      <c r="D226" s="71">
        <v>4.7103313708354841E-2</v>
      </c>
      <c r="E226" s="73">
        <v>0.13007556528905334</v>
      </c>
      <c r="F226" s="72">
        <v>1.1100000000000001</v>
      </c>
      <c r="G226" s="72">
        <v>0.35699999999999998</v>
      </c>
    </row>
    <row r="227" spans="1:7" hidden="1" x14ac:dyDescent="0.25">
      <c r="A227" s="74">
        <v>6.3861650121177487</v>
      </c>
      <c r="B227" s="75">
        <v>20</v>
      </c>
      <c r="C227" s="76" t="s">
        <v>58</v>
      </c>
      <c r="D227" s="77">
        <v>1.4033784511862425E-2</v>
      </c>
      <c r="E227" s="35">
        <v>4.3569848746908557E-2</v>
      </c>
      <c r="F227" s="34">
        <v>1.28</v>
      </c>
      <c r="G227" s="34">
        <v>0.32300000000000001</v>
      </c>
    </row>
    <row r="228" spans="1:7" hidden="1" x14ac:dyDescent="0.25">
      <c r="A228" s="74">
        <v>7.9827062651471854</v>
      </c>
      <c r="B228" s="75">
        <v>25</v>
      </c>
      <c r="C228" s="76" t="s">
        <v>58</v>
      </c>
      <c r="D228" s="77">
        <v>1.754223063982803E-2</v>
      </c>
      <c r="E228" s="35">
        <v>5.4462310933635683E-2</v>
      </c>
      <c r="F228" s="34">
        <v>1.28</v>
      </c>
      <c r="G228" s="34">
        <v>0.32300000000000001</v>
      </c>
    </row>
    <row r="229" spans="1:7" hidden="1" x14ac:dyDescent="0.25">
      <c r="A229" s="74">
        <v>9.5792475181766221</v>
      </c>
      <c r="B229" s="75">
        <v>30</v>
      </c>
      <c r="C229" s="76" t="s">
        <v>58</v>
      </c>
      <c r="D229" s="77">
        <v>2.1050676767793638E-2</v>
      </c>
      <c r="E229" s="35">
        <v>6.5354773120362836E-2</v>
      </c>
      <c r="F229" s="34">
        <v>1.28</v>
      </c>
      <c r="G229" s="34">
        <v>0.32300000000000001</v>
      </c>
    </row>
    <row r="230" spans="1:7" hidden="1" x14ac:dyDescent="0.25">
      <c r="A230" s="74">
        <v>11.78625789679279</v>
      </c>
      <c r="B230" s="75">
        <v>35</v>
      </c>
      <c r="C230" s="76" t="s">
        <v>58</v>
      </c>
      <c r="D230" s="77">
        <v>3.3104626383453767E-2</v>
      </c>
      <c r="E230" s="35">
        <v>0.1027779472551259</v>
      </c>
      <c r="F230" s="34">
        <v>1.28</v>
      </c>
      <c r="G230" s="34">
        <v>0.32300000000000001</v>
      </c>
    </row>
    <row r="231" spans="1:7" hidden="1" x14ac:dyDescent="0.25">
      <c r="A231" s="74">
        <v>13.470009024906046</v>
      </c>
      <c r="B231" s="75">
        <v>40</v>
      </c>
      <c r="C231" s="76" t="s">
        <v>58</v>
      </c>
      <c r="D231" s="77">
        <v>3.7833858723947164E-2</v>
      </c>
      <c r="E231" s="35">
        <v>0.11746051114871532</v>
      </c>
      <c r="F231" s="34">
        <v>1.28</v>
      </c>
      <c r="G231" s="34">
        <v>0.32300000000000001</v>
      </c>
    </row>
    <row r="232" spans="1:7" hidden="1" x14ac:dyDescent="0.25">
      <c r="A232" s="68">
        <v>7.0852640677918064</v>
      </c>
      <c r="B232" s="69">
        <v>20</v>
      </c>
      <c r="C232" s="70" t="s">
        <v>59</v>
      </c>
      <c r="D232" s="71">
        <v>2.6624296652618271E-2</v>
      </c>
      <c r="E232" s="73">
        <v>5.5638922658708602E-2</v>
      </c>
      <c r="F232" s="72">
        <v>0.84</v>
      </c>
      <c r="G232" s="72">
        <v>0.35699999999999998</v>
      </c>
    </row>
    <row r="233" spans="1:7" hidden="1" x14ac:dyDescent="0.25">
      <c r="A233" s="68">
        <v>8.8565800847397576</v>
      </c>
      <c r="B233" s="69">
        <v>25</v>
      </c>
      <c r="C233" s="70" t="s">
        <v>59</v>
      </c>
      <c r="D233" s="71">
        <v>3.3280370815772835E-2</v>
      </c>
      <c r="E233" s="73">
        <v>6.9548653323385751E-2</v>
      </c>
      <c r="F233" s="72">
        <v>0.84</v>
      </c>
      <c r="G233" s="72">
        <v>0.35699999999999998</v>
      </c>
    </row>
    <row r="234" spans="1:7" hidden="1" x14ac:dyDescent="0.25">
      <c r="A234" s="68">
        <v>11.083771142293454</v>
      </c>
      <c r="B234" s="69">
        <v>30</v>
      </c>
      <c r="C234" s="70" t="s">
        <v>59</v>
      </c>
      <c r="D234" s="71">
        <v>8.5655255515471082E-2</v>
      </c>
      <c r="E234" s="73">
        <v>0.17900063987112114</v>
      </c>
      <c r="F234" s="72">
        <v>0.84</v>
      </c>
      <c r="G234" s="72">
        <v>0.35699999999999998</v>
      </c>
    </row>
    <row r="235" spans="1:7" hidden="1" x14ac:dyDescent="0.25">
      <c r="A235" s="68">
        <v>12.931066332675696</v>
      </c>
      <c r="B235" s="69">
        <v>35</v>
      </c>
      <c r="C235" s="70" t="s">
        <v>59</v>
      </c>
      <c r="D235" s="71">
        <v>9.9931131434716255E-2</v>
      </c>
      <c r="E235" s="73">
        <v>0.20883407984964134</v>
      </c>
      <c r="F235" s="72">
        <v>0.84</v>
      </c>
      <c r="G235" s="72">
        <v>0.35699999999999998</v>
      </c>
    </row>
    <row r="236" spans="1:7" hidden="1" x14ac:dyDescent="0.25">
      <c r="A236" s="68">
        <v>14.778361523057939</v>
      </c>
      <c r="B236" s="69">
        <v>40</v>
      </c>
      <c r="C236" s="70" t="s">
        <v>59</v>
      </c>
      <c r="D236" s="71">
        <v>0.11420700735396144</v>
      </c>
      <c r="E236" s="73">
        <v>0.23866751982816153</v>
      </c>
      <c r="F236" s="72">
        <v>0.84</v>
      </c>
      <c r="G236" s="72">
        <v>0.35699999999999998</v>
      </c>
    </row>
    <row r="237" spans="1:7" hidden="1" x14ac:dyDescent="0.25">
      <c r="A237" s="74">
        <v>8.6509680433240472</v>
      </c>
      <c r="B237" s="75">
        <v>20</v>
      </c>
      <c r="C237" s="76" t="s">
        <v>60</v>
      </c>
      <c r="D237" s="77">
        <v>3.0960646267520889E-2</v>
      </c>
      <c r="E237" s="35">
        <v>6.8552185747233832E-2</v>
      </c>
      <c r="F237" s="34">
        <v>0.89</v>
      </c>
      <c r="G237" s="34">
        <v>0.35699999999999998</v>
      </c>
    </row>
    <row r="238" spans="1:7" hidden="1" x14ac:dyDescent="0.25">
      <c r="A238" s="74">
        <v>11.585606043052112</v>
      </c>
      <c r="B238" s="75">
        <v>25</v>
      </c>
      <c r="C238" s="76" t="s">
        <v>60</v>
      </c>
      <c r="D238" s="77">
        <v>5.5535418063081127E-2</v>
      </c>
      <c r="E238" s="35">
        <v>0.12296494917176243</v>
      </c>
      <c r="F238" s="34">
        <v>0.89</v>
      </c>
      <c r="G238" s="34">
        <v>0.35699999999999998</v>
      </c>
    </row>
    <row r="239" spans="1:7" hidden="1" x14ac:dyDescent="0.25">
      <c r="A239" s="74">
        <v>13.902727251662533</v>
      </c>
      <c r="B239" s="75">
        <v>30</v>
      </c>
      <c r="C239" s="76" t="s">
        <v>60</v>
      </c>
      <c r="D239" s="77">
        <v>6.6642501675697352E-2</v>
      </c>
      <c r="E239" s="35">
        <v>0.14755793900611491</v>
      </c>
      <c r="F239" s="34">
        <v>0.89</v>
      </c>
      <c r="G239" s="34">
        <v>0.35699999999999998</v>
      </c>
    </row>
    <row r="240" spans="1:7" hidden="1" x14ac:dyDescent="0.25">
      <c r="A240" s="74">
        <v>16.636404255116883</v>
      </c>
      <c r="B240" s="75">
        <v>35</v>
      </c>
      <c r="C240" s="76" t="s">
        <v>60</v>
      </c>
      <c r="D240" s="77">
        <v>0.10425333573826619</v>
      </c>
      <c r="E240" s="35">
        <v>0.23083478214715636</v>
      </c>
      <c r="F240" s="34">
        <v>0.89</v>
      </c>
      <c r="G240" s="34">
        <v>0.35699999999999998</v>
      </c>
    </row>
    <row r="241" spans="1:7" hidden="1" x14ac:dyDescent="0.25">
      <c r="A241" s="74">
        <v>19.013033434419295</v>
      </c>
      <c r="B241" s="75">
        <v>40</v>
      </c>
      <c r="C241" s="76" t="s">
        <v>60</v>
      </c>
      <c r="D241" s="77">
        <v>0.11914666941516135</v>
      </c>
      <c r="E241" s="35">
        <v>0.26381117959675016</v>
      </c>
      <c r="F241" s="34">
        <v>0.89</v>
      </c>
      <c r="G241" s="34">
        <v>0.35699999999999998</v>
      </c>
    </row>
    <row r="242" spans="1:7" hidden="1" x14ac:dyDescent="0.25">
      <c r="A242" s="68">
        <v>7.0998775271126577</v>
      </c>
      <c r="B242" s="69">
        <v>20</v>
      </c>
      <c r="C242" s="70" t="s">
        <v>61</v>
      </c>
      <c r="D242" s="71">
        <v>1.9354648683058993E-2</v>
      </c>
      <c r="E242" s="73">
        <v>5.3290218724743897E-2</v>
      </c>
      <c r="F242" s="72">
        <v>1.1100000000000001</v>
      </c>
      <c r="G242" s="72">
        <v>0.35299999999999998</v>
      </c>
    </row>
    <row r="243" spans="1:7" hidden="1" x14ac:dyDescent="0.25">
      <c r="A243" s="68">
        <v>8.874846908890822</v>
      </c>
      <c r="B243" s="69">
        <v>25</v>
      </c>
      <c r="C243" s="70" t="s">
        <v>61</v>
      </c>
      <c r="D243" s="71">
        <v>2.4193310853823743E-2</v>
      </c>
      <c r="E243" s="73">
        <v>6.6612773405929887E-2</v>
      </c>
      <c r="F243" s="72">
        <v>1.1100000000000001</v>
      </c>
      <c r="G243" s="72">
        <v>0.35299999999999998</v>
      </c>
    </row>
    <row r="244" spans="1:7" hidden="1" x14ac:dyDescent="0.25">
      <c r="A244" s="68">
        <v>11.206762907856127</v>
      </c>
      <c r="B244" s="69">
        <v>30</v>
      </c>
      <c r="C244" s="70" t="s">
        <v>61</v>
      </c>
      <c r="D244" s="71">
        <v>5.3727881844045491E-2</v>
      </c>
      <c r="E244" s="73">
        <v>0.14793193211471187</v>
      </c>
      <c r="F244" s="72">
        <v>1.1100000000000001</v>
      </c>
      <c r="G244" s="72">
        <v>0.35299999999999998</v>
      </c>
    </row>
    <row r="245" spans="1:7" hidden="1" x14ac:dyDescent="0.25">
      <c r="A245" s="68">
        <v>13.074556725832148</v>
      </c>
      <c r="B245" s="69">
        <v>35</v>
      </c>
      <c r="C245" s="70" t="s">
        <v>61</v>
      </c>
      <c r="D245" s="71">
        <v>6.2682528818053071E-2</v>
      </c>
      <c r="E245" s="73">
        <v>0.17258725413383053</v>
      </c>
      <c r="F245" s="72">
        <v>1.1100000000000001</v>
      </c>
      <c r="G245" s="72">
        <v>0.35299999999999998</v>
      </c>
    </row>
    <row r="246" spans="1:7" hidden="1" x14ac:dyDescent="0.25">
      <c r="A246" s="68">
        <v>14.942350543808169</v>
      </c>
      <c r="B246" s="69">
        <v>40</v>
      </c>
      <c r="C246" s="70" t="s">
        <v>61</v>
      </c>
      <c r="D246" s="71">
        <v>7.1637175792060651E-2</v>
      </c>
      <c r="E246" s="73">
        <v>0.19724257615294916</v>
      </c>
      <c r="F246" s="72">
        <v>1.1100000000000001</v>
      </c>
      <c r="G246" s="72">
        <v>0.35299999999999998</v>
      </c>
    </row>
    <row r="247" spans="1:7" hidden="1" x14ac:dyDescent="0.25">
      <c r="A247" s="74">
        <v>8.6509680433240472</v>
      </c>
      <c r="B247" s="75">
        <v>20</v>
      </c>
      <c r="C247" s="78" t="s">
        <v>62</v>
      </c>
      <c r="D247" s="77">
        <v>3.3837493759715447E-2</v>
      </c>
      <c r="E247" s="35">
        <v>7.0712917709178133E-2</v>
      </c>
      <c r="F247" s="34">
        <v>0.84</v>
      </c>
      <c r="G247" s="34">
        <v>0.35699999999999998</v>
      </c>
    </row>
    <row r="248" spans="1:7" hidden="1" x14ac:dyDescent="0.25">
      <c r="A248" s="74">
        <v>11.585606043052112</v>
      </c>
      <c r="B248" s="75">
        <v>25</v>
      </c>
      <c r="C248" s="78" t="s">
        <v>62</v>
      </c>
      <c r="D248" s="77">
        <v>7.6750370757631942E-2</v>
      </c>
      <c r="E248" s="35">
        <v>0.16039138980188405</v>
      </c>
      <c r="F248" s="34">
        <v>0.84</v>
      </c>
      <c r="G248" s="34">
        <v>0.35699999999999998</v>
      </c>
    </row>
    <row r="249" spans="1:7" hidden="1" x14ac:dyDescent="0.25">
      <c r="A249" s="74">
        <v>13.902727251662533</v>
      </c>
      <c r="B249" s="75">
        <v>30</v>
      </c>
      <c r="C249" s="78" t="s">
        <v>62</v>
      </c>
      <c r="D249" s="77">
        <v>9.2100444909158335E-2</v>
      </c>
      <c r="E249" s="35">
        <v>0.1924696677622609</v>
      </c>
      <c r="F249" s="34">
        <v>0.84</v>
      </c>
      <c r="G249" s="34">
        <v>0.35699999999999998</v>
      </c>
    </row>
    <row r="250" spans="1:7" hidden="1" x14ac:dyDescent="0.25">
      <c r="A250" s="74">
        <v>16.636404255116883</v>
      </c>
      <c r="B250" s="75">
        <v>35</v>
      </c>
      <c r="C250" s="78" t="s">
        <v>62</v>
      </c>
      <c r="D250" s="77">
        <v>0.10745051906068473</v>
      </c>
      <c r="E250" s="35">
        <v>0.2245479457226377</v>
      </c>
      <c r="F250" s="34">
        <v>0.84</v>
      </c>
      <c r="G250" s="34">
        <v>0.35699999999999998</v>
      </c>
    </row>
    <row r="251" spans="1:7" hidden="1" x14ac:dyDescent="0.25">
      <c r="A251" s="74">
        <v>19.013033434419295</v>
      </c>
      <c r="B251" s="75">
        <v>40</v>
      </c>
      <c r="C251" s="78" t="s">
        <v>62</v>
      </c>
      <c r="D251" s="77">
        <v>0.16228837751151071</v>
      </c>
      <c r="E251" s="35">
        <v>0.3391470055560048</v>
      </c>
      <c r="F251" s="34">
        <v>0.84</v>
      </c>
      <c r="G251" s="34">
        <v>0.35699999999999998</v>
      </c>
    </row>
    <row r="252" spans="1:7" hidden="1" x14ac:dyDescent="0.25">
      <c r="A252" s="68">
        <v>8.6509680433240472</v>
      </c>
      <c r="B252" s="69">
        <v>20</v>
      </c>
      <c r="C252" s="70" t="s">
        <v>98</v>
      </c>
      <c r="D252" s="71">
        <v>3.6271193707291177E-2</v>
      </c>
      <c r="E252" s="73">
        <v>7.2189347795831374E-2</v>
      </c>
      <c r="F252" s="72">
        <v>0.8</v>
      </c>
      <c r="G252" s="72">
        <v>0.35699999999999998</v>
      </c>
    </row>
    <row r="253" spans="1:7" hidden="1" x14ac:dyDescent="0.25">
      <c r="A253" s="68">
        <v>11.585606043052112</v>
      </c>
      <c r="B253" s="69">
        <v>25</v>
      </c>
      <c r="C253" s="70" t="s">
        <v>98</v>
      </c>
      <c r="D253" s="71">
        <v>9.2760006106566914E-2</v>
      </c>
      <c r="E253" s="73">
        <v>0.18461714815369659</v>
      </c>
      <c r="F253" s="72">
        <v>0.8</v>
      </c>
      <c r="G253" s="72">
        <v>0.35699999999999998</v>
      </c>
    </row>
    <row r="254" spans="1:7" hidden="1" x14ac:dyDescent="0.25">
      <c r="A254" s="68">
        <v>13.902727251662533</v>
      </c>
      <c r="B254" s="69">
        <v>30</v>
      </c>
      <c r="C254" s="70" t="s">
        <v>98</v>
      </c>
      <c r="D254" s="71">
        <v>0.1113120073278803</v>
      </c>
      <c r="E254" s="73">
        <v>0.22154057778443589</v>
      </c>
      <c r="F254" s="72">
        <v>0.8</v>
      </c>
      <c r="G254" s="72">
        <v>0.35699999999999998</v>
      </c>
    </row>
    <row r="255" spans="1:7" hidden="1" x14ac:dyDescent="0.25">
      <c r="A255" s="68">
        <v>16.636404255116883</v>
      </c>
      <c r="B255" s="69">
        <v>35</v>
      </c>
      <c r="C255" s="70" t="s">
        <v>98</v>
      </c>
      <c r="D255" s="71">
        <v>0.1744750679670522</v>
      </c>
      <c r="E255" s="73">
        <v>0.34725191193922511</v>
      </c>
      <c r="F255" s="72">
        <v>0.8</v>
      </c>
      <c r="G255" s="72">
        <v>0.35699999999999998</v>
      </c>
    </row>
    <row r="256" spans="1:7" hidden="1" x14ac:dyDescent="0.25">
      <c r="A256" s="68">
        <v>19.013033434419295</v>
      </c>
      <c r="B256" s="69">
        <v>40</v>
      </c>
      <c r="C256" s="70" t="s">
        <v>98</v>
      </c>
      <c r="D256" s="71">
        <v>0.19940007767663109</v>
      </c>
      <c r="E256" s="73">
        <v>0.39685932793054296</v>
      </c>
      <c r="F256" s="72">
        <v>0.8</v>
      </c>
      <c r="G256" s="72">
        <v>0.35699999999999998</v>
      </c>
    </row>
    <row r="257" spans="1:7" hidden="1" x14ac:dyDescent="0.25">
      <c r="A257" s="74">
        <v>7.0998775271126577</v>
      </c>
      <c r="B257" s="75">
        <v>20</v>
      </c>
      <c r="C257" s="76" t="s">
        <v>106</v>
      </c>
      <c r="D257" s="77">
        <v>2.8768468145291475E-2</v>
      </c>
      <c r="E257" s="35">
        <v>8.9315736942597715E-2</v>
      </c>
      <c r="F257" s="34">
        <v>1.28</v>
      </c>
      <c r="G257" s="34">
        <v>0.32300000000000001</v>
      </c>
    </row>
    <row r="258" spans="1:7" hidden="1" x14ac:dyDescent="0.25">
      <c r="A258" s="74">
        <v>8.874846908890822</v>
      </c>
      <c r="B258" s="75">
        <v>25</v>
      </c>
      <c r="C258" s="76" t="s">
        <v>106</v>
      </c>
      <c r="D258" s="77">
        <v>3.5960585181614345E-2</v>
      </c>
      <c r="E258" s="35">
        <v>0.11164467117824715</v>
      </c>
      <c r="F258" s="34">
        <v>1.28</v>
      </c>
      <c r="G258" s="34">
        <v>0.32300000000000001</v>
      </c>
    </row>
    <row r="259" spans="1:7" hidden="1" x14ac:dyDescent="0.25">
      <c r="A259" s="74">
        <v>11.206762907856127</v>
      </c>
      <c r="B259" s="75">
        <v>30</v>
      </c>
      <c r="C259" s="76" t="s">
        <v>106</v>
      </c>
      <c r="D259" s="77">
        <v>4.96763616512092E-2</v>
      </c>
      <c r="E259" s="35">
        <v>0.15422721943681011</v>
      </c>
      <c r="F259" s="34">
        <v>1.28</v>
      </c>
      <c r="G259" s="34">
        <v>0.32300000000000001</v>
      </c>
    </row>
    <row r="260" spans="1:7" hidden="1" x14ac:dyDescent="0.25">
      <c r="A260" s="74">
        <v>13.074556725832148</v>
      </c>
      <c r="B260" s="75">
        <v>35</v>
      </c>
      <c r="C260" s="76" t="s">
        <v>106</v>
      </c>
      <c r="D260" s="77">
        <v>5.7955755259744064E-2</v>
      </c>
      <c r="E260" s="35">
        <v>0.17993175600961181</v>
      </c>
      <c r="F260" s="34">
        <v>1.28</v>
      </c>
      <c r="G260" s="34">
        <v>0.32300000000000001</v>
      </c>
    </row>
    <row r="261" spans="1:7" hidden="1" x14ac:dyDescent="0.25">
      <c r="A261" s="74">
        <v>14.942350543808169</v>
      </c>
      <c r="B261" s="75">
        <v>40</v>
      </c>
      <c r="C261" s="76" t="s">
        <v>106</v>
      </c>
      <c r="D261" s="77">
        <v>6.6235148868278929E-2</v>
      </c>
      <c r="E261" s="35">
        <v>0.20563629258241348</v>
      </c>
      <c r="F261" s="34">
        <v>1.28</v>
      </c>
      <c r="G261" s="34">
        <v>0.32300000000000001</v>
      </c>
    </row>
    <row r="262" spans="1:7" hidden="1" x14ac:dyDescent="0.25">
      <c r="A262" s="68">
        <v>8.7528501468290614</v>
      </c>
      <c r="B262" s="69">
        <v>20</v>
      </c>
      <c r="C262" s="70" t="s">
        <v>64</v>
      </c>
      <c r="D262" s="71">
        <v>2.7231583871240757E-2</v>
      </c>
      <c r="E262" s="73">
        <v>6.0069243142107612E-2</v>
      </c>
      <c r="F262" s="72">
        <v>0.8</v>
      </c>
      <c r="G262" s="72">
        <v>0.504</v>
      </c>
    </row>
    <row r="263" spans="1:7" hidden="1" x14ac:dyDescent="0.25">
      <c r="A263" s="68">
        <v>11.888316400408007</v>
      </c>
      <c r="B263" s="69">
        <v>25</v>
      </c>
      <c r="C263" s="70" t="s">
        <v>64</v>
      </c>
      <c r="D263" s="71">
        <v>7.221104985622355E-2</v>
      </c>
      <c r="E263" s="73">
        <v>0.15928794784284833</v>
      </c>
      <c r="F263" s="72">
        <v>0.8</v>
      </c>
      <c r="G263" s="72">
        <v>0.504</v>
      </c>
    </row>
    <row r="264" spans="1:7" hidden="1" x14ac:dyDescent="0.25">
      <c r="A264" s="68">
        <v>14.265979680489608</v>
      </c>
      <c r="B264" s="69">
        <v>30</v>
      </c>
      <c r="C264" s="70" t="s">
        <v>64</v>
      </c>
      <c r="D264" s="71">
        <v>8.6653259827468271E-2</v>
      </c>
      <c r="E264" s="73">
        <v>0.19114553741141802</v>
      </c>
      <c r="F264" s="72">
        <v>0.8</v>
      </c>
      <c r="G264" s="72">
        <v>0.504</v>
      </c>
    </row>
    <row r="265" spans="1:7" hidden="1" x14ac:dyDescent="0.25">
      <c r="A265" s="68">
        <v>16.64364296057121</v>
      </c>
      <c r="B265" s="69">
        <v>35</v>
      </c>
      <c r="C265" s="70" t="s">
        <v>64</v>
      </c>
      <c r="D265" s="71">
        <v>0.15598954072599311</v>
      </c>
      <c r="E265" s="73">
        <v>0.34409212823611068</v>
      </c>
      <c r="F265" s="72">
        <v>0.8</v>
      </c>
      <c r="G265" s="72">
        <v>0.504</v>
      </c>
    </row>
    <row r="266" spans="1:7" hidden="1" x14ac:dyDescent="0.25">
      <c r="A266" s="68">
        <v>19.793749134023475</v>
      </c>
      <c r="B266" s="69">
        <v>40</v>
      </c>
      <c r="C266" s="70" t="s">
        <v>64</v>
      </c>
      <c r="D266" s="71">
        <v>0.17827376082970639</v>
      </c>
      <c r="E266" s="73">
        <v>0.39324814655555496</v>
      </c>
      <c r="F266" s="72">
        <v>0.8</v>
      </c>
      <c r="G266" s="72">
        <v>0.504</v>
      </c>
    </row>
    <row r="267" spans="1:7" hidden="1" x14ac:dyDescent="0.25">
      <c r="A267" s="74">
        <v>21.365238756543103</v>
      </c>
      <c r="B267" s="75">
        <v>20</v>
      </c>
      <c r="C267" s="76" t="s">
        <v>211</v>
      </c>
      <c r="D267" s="77">
        <v>0.13993173246654608</v>
      </c>
      <c r="E267" s="35">
        <v>0.3086707442568718</v>
      </c>
      <c r="F267" s="34">
        <v>0.8</v>
      </c>
      <c r="G267" s="34">
        <v>0.504</v>
      </c>
    </row>
    <row r="268" spans="1:7" hidden="1" x14ac:dyDescent="0.25">
      <c r="A268" s="74">
        <v>27.357585528931562</v>
      </c>
      <c r="B268" s="75">
        <v>25</v>
      </c>
      <c r="C268" s="76" t="s">
        <v>211</v>
      </c>
      <c r="D268" s="77">
        <v>0.26066265362298341</v>
      </c>
      <c r="E268" s="35">
        <v>0.57498705887181834</v>
      </c>
      <c r="F268" s="34">
        <v>0.8</v>
      </c>
      <c r="G268" s="34">
        <v>0.504</v>
      </c>
    </row>
    <row r="269" spans="1:7" hidden="1" x14ac:dyDescent="0.25">
      <c r="A269" s="74">
        <v>27.479825228311551</v>
      </c>
      <c r="B269" s="75">
        <v>30</v>
      </c>
      <c r="C269" s="76" t="s">
        <v>211</v>
      </c>
      <c r="D269" s="77">
        <v>0.40603515156448039</v>
      </c>
      <c r="E269" s="35">
        <v>0.89565940633103525</v>
      </c>
      <c r="F269" s="34">
        <v>0.8</v>
      </c>
      <c r="G269" s="34">
        <v>0.504</v>
      </c>
    </row>
    <row r="270" spans="1:7" hidden="1" x14ac:dyDescent="0.25">
      <c r="A270" s="74">
        <v>37.842747167200073</v>
      </c>
      <c r="B270" s="75">
        <v>35</v>
      </c>
      <c r="C270" s="76" t="s">
        <v>211</v>
      </c>
      <c r="D270" s="77">
        <v>0.56415193613376724</v>
      </c>
      <c r="E270" s="35">
        <v>1.2444439508529392</v>
      </c>
      <c r="F270" s="34">
        <v>0.8</v>
      </c>
      <c r="G270" s="34">
        <v>0.504</v>
      </c>
    </row>
    <row r="271" spans="1:7" hidden="1" x14ac:dyDescent="0.25">
      <c r="A271" s="74">
        <v>42.736691527154122</v>
      </c>
      <c r="B271" s="75">
        <v>40</v>
      </c>
      <c r="C271" s="76" t="s">
        <v>211</v>
      </c>
      <c r="D271" s="77">
        <v>0.61922533725760553</v>
      </c>
      <c r="E271" s="35">
        <v>1.3659285306119766</v>
      </c>
      <c r="F271" s="34">
        <v>0.8</v>
      </c>
      <c r="G271" s="34">
        <v>0.504</v>
      </c>
    </row>
    <row r="272" spans="1:7" hidden="1" x14ac:dyDescent="0.25">
      <c r="A272" s="68">
        <v>10.088832167232482</v>
      </c>
      <c r="B272" s="69">
        <v>20</v>
      </c>
      <c r="C272" s="70" t="s">
        <v>67</v>
      </c>
      <c r="D272" s="71">
        <v>6.2140816833345464E-2</v>
      </c>
      <c r="E272" s="73">
        <v>0.16514543481629892</v>
      </c>
      <c r="F272" s="72">
        <v>0.8</v>
      </c>
      <c r="G272" s="72">
        <v>0.81200000000000006</v>
      </c>
    </row>
    <row r="273" spans="1:7" hidden="1" x14ac:dyDescent="0.25">
      <c r="A273" s="68">
        <v>12.611040209040603</v>
      </c>
      <c r="B273" s="69">
        <v>25</v>
      </c>
      <c r="C273" s="70" t="s">
        <v>67</v>
      </c>
      <c r="D273" s="71">
        <v>7.7676021041681836E-2</v>
      </c>
      <c r="E273" s="73">
        <v>0.20643179352037366</v>
      </c>
      <c r="F273" s="72">
        <v>0.8</v>
      </c>
      <c r="G273" s="72">
        <v>0.81200000000000006</v>
      </c>
    </row>
    <row r="274" spans="1:7" hidden="1" x14ac:dyDescent="0.25">
      <c r="A274" s="68">
        <v>15.133248250848723</v>
      </c>
      <c r="B274" s="69">
        <v>30</v>
      </c>
      <c r="C274" s="70" t="s">
        <v>67</v>
      </c>
      <c r="D274" s="71">
        <v>9.3211225250018195E-2</v>
      </c>
      <c r="E274" s="73">
        <v>0.24771815222444837</v>
      </c>
      <c r="F274" s="72">
        <v>0.8</v>
      </c>
      <c r="G274" s="72">
        <v>0.81200000000000006</v>
      </c>
    </row>
    <row r="275" spans="1:7" hidden="1" x14ac:dyDescent="0.25">
      <c r="A275" s="68">
        <v>17.655456292656844</v>
      </c>
      <c r="B275" s="69">
        <v>35</v>
      </c>
      <c r="C275" s="70" t="s">
        <v>67</v>
      </c>
      <c r="D275" s="71">
        <v>0.10874642945835457</v>
      </c>
      <c r="E275" s="73">
        <v>0.28900451092852308</v>
      </c>
      <c r="F275" s="72">
        <v>0.8</v>
      </c>
      <c r="G275" s="72">
        <v>0.81200000000000006</v>
      </c>
    </row>
    <row r="276" spans="1:7" hidden="1" x14ac:dyDescent="0.25">
      <c r="A276" s="68">
        <v>20.177664334464964</v>
      </c>
      <c r="B276" s="69">
        <v>40</v>
      </c>
      <c r="C276" s="70" t="s">
        <v>67</v>
      </c>
      <c r="D276" s="71">
        <v>0.12428163366669093</v>
      </c>
      <c r="E276" s="73">
        <v>0.33029086963259785</v>
      </c>
      <c r="F276" s="72">
        <v>0.8</v>
      </c>
      <c r="G276" s="72">
        <v>0.81200000000000006</v>
      </c>
    </row>
    <row r="277" spans="1:7" hidden="1" x14ac:dyDescent="0.25">
      <c r="A277" s="74">
        <v>8.7528501468290614</v>
      </c>
      <c r="B277" s="75">
        <v>20</v>
      </c>
      <c r="C277" s="76" t="s">
        <v>212</v>
      </c>
      <c r="D277" s="77">
        <v>1.4552614868954362E-2</v>
      </c>
      <c r="E277" s="35">
        <v>2.8664770594541707E-2</v>
      </c>
      <c r="F277" s="34">
        <v>0.8</v>
      </c>
      <c r="G277" s="34">
        <v>0.34300000000000003</v>
      </c>
    </row>
    <row r="278" spans="1:7" hidden="1" x14ac:dyDescent="0.25">
      <c r="A278" s="74">
        <v>11.888316400408007</v>
      </c>
      <c r="B278" s="75">
        <v>25</v>
      </c>
      <c r="C278" s="76" t="s">
        <v>212</v>
      </c>
      <c r="D278" s="77">
        <v>3.3820935737924614E-2</v>
      </c>
      <c r="E278" s="35">
        <v>6.6618224487514713E-2</v>
      </c>
      <c r="F278" s="34">
        <v>0.8</v>
      </c>
      <c r="G278" s="34">
        <v>0.34300000000000003</v>
      </c>
    </row>
    <row r="279" spans="1:7" hidden="1" x14ac:dyDescent="0.25">
      <c r="A279" s="74">
        <v>14.265979680489608</v>
      </c>
      <c r="B279" s="75">
        <v>30</v>
      </c>
      <c r="C279" s="76" t="s">
        <v>212</v>
      </c>
      <c r="D279" s="77">
        <v>4.0585122885509535E-2</v>
      </c>
      <c r="E279" s="35">
        <v>7.9941869385017642E-2</v>
      </c>
      <c r="F279" s="34">
        <v>0.8</v>
      </c>
      <c r="G279" s="34">
        <v>0.34300000000000003</v>
      </c>
    </row>
    <row r="280" spans="1:7" hidden="1" x14ac:dyDescent="0.25">
      <c r="A280" s="74">
        <v>17.319530492270541</v>
      </c>
      <c r="B280" s="75">
        <v>35</v>
      </c>
      <c r="C280" s="76" t="s">
        <v>212</v>
      </c>
      <c r="D280" s="77">
        <v>7.1138125670237848E-2</v>
      </c>
      <c r="E280" s="35">
        <v>0.14012313740352317</v>
      </c>
      <c r="F280" s="34">
        <v>0.8</v>
      </c>
      <c r="G280" s="34">
        <v>0.34300000000000003</v>
      </c>
    </row>
    <row r="281" spans="1:7" hidden="1" x14ac:dyDescent="0.25">
      <c r="A281" s="74">
        <v>19.793749134023475</v>
      </c>
      <c r="B281" s="75">
        <v>40</v>
      </c>
      <c r="C281" s="76" t="s">
        <v>212</v>
      </c>
      <c r="D281" s="77">
        <v>8.1300715051700403E-2</v>
      </c>
      <c r="E281" s="35">
        <v>0.16014072846116933</v>
      </c>
      <c r="F281" s="34">
        <v>0.8</v>
      </c>
      <c r="G281" s="34">
        <v>0.34300000000000003</v>
      </c>
    </row>
    <row r="282" spans="1:7" hidden="1" x14ac:dyDescent="0.25">
      <c r="A282" s="68">
        <v>10.060868252930229</v>
      </c>
      <c r="B282" s="69">
        <v>20</v>
      </c>
      <c r="C282" s="70" t="s">
        <v>72</v>
      </c>
      <c r="D282" s="71">
        <v>2.6976298890617898E-2</v>
      </c>
      <c r="E282" s="73">
        <v>5.1766168756151212E-2</v>
      </c>
      <c r="F282" s="72">
        <v>0.9</v>
      </c>
      <c r="G282" s="72">
        <v>0.16300000000000001</v>
      </c>
    </row>
    <row r="283" spans="1:7" hidden="1" x14ac:dyDescent="0.25">
      <c r="A283" s="68">
        <v>14.045022724846767</v>
      </c>
      <c r="B283" s="69">
        <v>25</v>
      </c>
      <c r="C283" s="70" t="s">
        <v>72</v>
      </c>
      <c r="D283" s="71">
        <v>3.295231159662796E-2</v>
      </c>
      <c r="E283" s="73">
        <v>6.3233838338349224E-2</v>
      </c>
      <c r="F283" s="72">
        <v>0.9</v>
      </c>
      <c r="G283" s="72">
        <v>0.16300000000000001</v>
      </c>
    </row>
    <row r="284" spans="1:7" hidden="1" x14ac:dyDescent="0.25">
      <c r="A284" s="68">
        <v>17.94172527630257</v>
      </c>
      <c r="B284" s="69">
        <v>30</v>
      </c>
      <c r="C284" s="70" t="s">
        <v>72</v>
      </c>
      <c r="D284" s="71">
        <v>4.5592134029955503E-2</v>
      </c>
      <c r="E284" s="73">
        <v>8.7489025596783121E-2</v>
      </c>
      <c r="F284" s="72">
        <v>0.9</v>
      </c>
      <c r="G284" s="72">
        <v>0.16300000000000001</v>
      </c>
    </row>
    <row r="285" spans="1:7" hidden="1" x14ac:dyDescent="0.25">
      <c r="A285" s="68">
        <v>21.818136481794323</v>
      </c>
      <c r="B285" s="69">
        <v>35</v>
      </c>
      <c r="C285" s="70" t="s">
        <v>72</v>
      </c>
      <c r="D285" s="71">
        <v>6.0733508148132463E-2</v>
      </c>
      <c r="E285" s="73">
        <v>0.1165445654608588</v>
      </c>
      <c r="F285" s="72">
        <v>0.9</v>
      </c>
      <c r="G285" s="72">
        <v>0.16300000000000001</v>
      </c>
    </row>
    <row r="286" spans="1:7" hidden="1" x14ac:dyDescent="0.25">
      <c r="A286" s="68">
        <v>24.935013122050655</v>
      </c>
      <c r="B286" s="69">
        <v>40</v>
      </c>
      <c r="C286" s="70" t="s">
        <v>72</v>
      </c>
      <c r="D286" s="71">
        <v>6.9409723597865666E-2</v>
      </c>
      <c r="E286" s="73">
        <v>0.13319378909812432</v>
      </c>
      <c r="F286" s="72">
        <v>0.9</v>
      </c>
      <c r="G286" s="72">
        <v>0.16300000000000001</v>
      </c>
    </row>
    <row r="289" spans="2:4" x14ac:dyDescent="0.25">
      <c r="B289" s="417">
        <v>20</v>
      </c>
      <c r="C289" s="24">
        <v>0.21841359949394204</v>
      </c>
      <c r="D289">
        <v>0.33838309337864286</v>
      </c>
    </row>
    <row r="290" spans="2:4" x14ac:dyDescent="0.25">
      <c r="B290" s="417">
        <v>25</v>
      </c>
      <c r="C290" s="24">
        <v>0.51973169525491636</v>
      </c>
      <c r="D290">
        <v>0.80520818838555264</v>
      </c>
    </row>
    <row r="291" spans="2:4" x14ac:dyDescent="0.25">
      <c r="B291" s="417">
        <v>30</v>
      </c>
      <c r="C291" s="24">
        <v>0.75996873280127686</v>
      </c>
      <c r="D291">
        <v>1.1774018251252529</v>
      </c>
    </row>
    <row r="292" spans="2:4" x14ac:dyDescent="0.25">
      <c r="B292" s="417">
        <v>35</v>
      </c>
      <c r="C292" s="24">
        <v>1.0033584896898251</v>
      </c>
      <c r="D292">
        <v>1.5544798963783533</v>
      </c>
    </row>
    <row r="293" spans="2:4" x14ac:dyDescent="0.25">
      <c r="B293" s="417">
        <v>40</v>
      </c>
      <c r="C293" s="24">
        <v>1.3062334225151486</v>
      </c>
      <c r="D293">
        <v>2.0237169627228608</v>
      </c>
    </row>
  </sheetData>
  <autoFilter ref="A1:G286">
    <filterColumn colId="2">
      <filters>
        <filter val="Populus x canadensis"/>
      </filters>
    </filterColumn>
  </autoFilter>
  <phoneticPr fontId="75"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workbookViewId="0">
      <selection activeCell="H95" activeCellId="1" sqref="I29 H95"/>
    </sheetView>
  </sheetViews>
  <sheetFormatPr baseColWidth="10" defaultRowHeight="15" x14ac:dyDescent="0.25"/>
  <cols>
    <col min="1" max="1" width="20.85546875" bestFit="1" customWidth="1"/>
  </cols>
  <sheetData>
    <row r="1" spans="1:15" ht="30" x14ac:dyDescent="0.25">
      <c r="A1" s="12" t="s">
        <v>103</v>
      </c>
      <c r="B1" s="29" t="s">
        <v>132</v>
      </c>
      <c r="C1" s="29" t="s">
        <v>133</v>
      </c>
      <c r="D1" s="18" t="s">
        <v>134</v>
      </c>
      <c r="E1" s="19" t="s">
        <v>135</v>
      </c>
      <c r="F1" s="20" t="s">
        <v>136</v>
      </c>
      <c r="G1" s="21" t="s">
        <v>137</v>
      </c>
      <c r="H1" s="22" t="s">
        <v>138</v>
      </c>
      <c r="I1" s="30" t="s">
        <v>139</v>
      </c>
      <c r="J1" s="31" t="s">
        <v>140</v>
      </c>
      <c r="K1" s="18" t="s">
        <v>141</v>
      </c>
      <c r="L1" s="19" t="s">
        <v>142</v>
      </c>
      <c r="M1" s="20" t="s">
        <v>143</v>
      </c>
      <c r="N1" s="21" t="s">
        <v>144</v>
      </c>
      <c r="O1" s="22" t="s">
        <v>145</v>
      </c>
    </row>
    <row r="2" spans="1:15" x14ac:dyDescent="0.25">
      <c r="A2" s="15" t="s">
        <v>3</v>
      </c>
      <c r="B2" s="32">
        <v>70</v>
      </c>
      <c r="C2" s="32">
        <v>180</v>
      </c>
      <c r="D2" s="33">
        <v>4.1428571428571433E-2</v>
      </c>
      <c r="E2" s="33">
        <v>5.1785714285714289E-2</v>
      </c>
      <c r="F2" s="33">
        <v>6.2142857142857146E-2</v>
      </c>
      <c r="G2" s="33">
        <v>7.2499999999999995E-2</v>
      </c>
      <c r="H2" s="33">
        <v>8.2857142857142865E-2</v>
      </c>
      <c r="I2" s="34">
        <v>0.61</v>
      </c>
      <c r="J2" s="34">
        <v>0.183</v>
      </c>
      <c r="K2" s="35">
        <v>5.4809516666666669E-2</v>
      </c>
      <c r="L2" s="35">
        <v>6.8511895833333336E-2</v>
      </c>
      <c r="M2" s="35">
        <v>8.2214275000000003E-2</v>
      </c>
      <c r="N2" s="35">
        <v>9.5916654166666657E-2</v>
      </c>
      <c r="O2" s="35">
        <v>0.10961903333333334</v>
      </c>
    </row>
    <row r="3" spans="1:15" x14ac:dyDescent="0.25">
      <c r="A3" s="15" t="s">
        <v>0</v>
      </c>
      <c r="B3" s="14">
        <v>20</v>
      </c>
      <c r="C3" s="14">
        <v>70</v>
      </c>
      <c r="D3" s="14">
        <v>2.1000000000000001E-2</v>
      </c>
      <c r="E3" s="14">
        <v>6.0999999999999999E-2</v>
      </c>
      <c r="F3" s="14">
        <v>0.112</v>
      </c>
      <c r="G3" s="14">
        <v>0.17499999999999999</v>
      </c>
      <c r="H3" s="13">
        <v>0.246</v>
      </c>
      <c r="I3" s="14">
        <v>0.62</v>
      </c>
      <c r="J3" s="14">
        <v>0.81200000000000006</v>
      </c>
      <c r="K3" s="35">
        <v>4.3252439999999996E-2</v>
      </c>
      <c r="L3" s="35">
        <v>0.12563804000000001</v>
      </c>
      <c r="M3" s="35">
        <v>0.23067968000000003</v>
      </c>
      <c r="N3" s="35">
        <v>0.36043700000000001</v>
      </c>
      <c r="O3" s="35">
        <v>0.50667143999999997</v>
      </c>
    </row>
    <row r="4" spans="1:15" x14ac:dyDescent="0.25">
      <c r="A4" s="15" t="s">
        <v>2</v>
      </c>
      <c r="B4" s="14">
        <v>20</v>
      </c>
      <c r="C4" s="14">
        <v>90</v>
      </c>
      <c r="D4" s="14">
        <v>1.0999999999999999E-2</v>
      </c>
      <c r="E4" s="14">
        <v>0.04</v>
      </c>
      <c r="F4" s="14">
        <v>7.3999999999999996E-2</v>
      </c>
      <c r="G4" s="14">
        <v>0.112</v>
      </c>
      <c r="H4" s="13">
        <v>0.151</v>
      </c>
      <c r="I4" s="14">
        <v>0.73</v>
      </c>
      <c r="J4" s="14">
        <v>0.504</v>
      </c>
      <c r="K4" s="35">
        <v>2.2141386666666665E-2</v>
      </c>
      <c r="L4" s="35">
        <v>8.0514133333333335E-2</v>
      </c>
      <c r="M4" s="35">
        <v>0.14895114666666667</v>
      </c>
      <c r="N4" s="35">
        <v>0.22543957333333331</v>
      </c>
      <c r="O4" s="35">
        <v>0.30394085333333332</v>
      </c>
    </row>
    <row r="5" spans="1:15" x14ac:dyDescent="0.25">
      <c r="A5" s="15" t="s">
        <v>10</v>
      </c>
      <c r="B5" s="14">
        <v>30</v>
      </c>
      <c r="C5" s="14">
        <v>100</v>
      </c>
      <c r="D5" s="35">
        <v>8.5999999999999993E-2</v>
      </c>
      <c r="E5" s="35">
        <v>0.1075</v>
      </c>
      <c r="F5" s="35">
        <v>0.129</v>
      </c>
      <c r="G5" s="35">
        <v>0.19950000000000001</v>
      </c>
      <c r="H5" s="35">
        <v>0.22800000000000001</v>
      </c>
      <c r="I5" s="14">
        <v>0.75</v>
      </c>
      <c r="J5" s="14">
        <v>0.76700000000000002</v>
      </c>
      <c r="K5" s="35">
        <v>0.20894774999999999</v>
      </c>
      <c r="L5" s="35">
        <v>0.26118468749999996</v>
      </c>
      <c r="M5" s="35">
        <v>0.31342162499999998</v>
      </c>
      <c r="N5" s="35">
        <v>0.4847101875</v>
      </c>
      <c r="O5" s="35">
        <v>0.55395450000000002</v>
      </c>
    </row>
    <row r="6" spans="1:15" x14ac:dyDescent="0.25">
      <c r="A6" s="15" t="s">
        <v>23</v>
      </c>
      <c r="B6" s="14">
        <v>15</v>
      </c>
      <c r="C6" s="14">
        <v>40</v>
      </c>
      <c r="D6" s="14">
        <v>0.20599999999999999</v>
      </c>
      <c r="E6" s="14">
        <v>0.41299999999999998</v>
      </c>
      <c r="F6" s="14">
        <v>0.69499999999999995</v>
      </c>
      <c r="G6" s="14">
        <v>1.06</v>
      </c>
      <c r="H6" s="13">
        <v>1.516</v>
      </c>
      <c r="I6" s="14">
        <v>0.81</v>
      </c>
      <c r="J6" s="14">
        <v>0.77100000000000002</v>
      </c>
      <c r="K6" s="35">
        <v>0.54176661000000004</v>
      </c>
      <c r="L6" s="35">
        <v>1.0861631549999999</v>
      </c>
      <c r="M6" s="35">
        <v>1.8278048250000001</v>
      </c>
      <c r="N6" s="35">
        <v>2.7877310999999998</v>
      </c>
      <c r="O6" s="35">
        <v>3.9869814600000004</v>
      </c>
    </row>
    <row r="7" spans="1:15" x14ac:dyDescent="0.25">
      <c r="A7" s="15" t="s">
        <v>104</v>
      </c>
      <c r="B7" s="14">
        <v>15</v>
      </c>
      <c r="C7" s="14">
        <v>45</v>
      </c>
      <c r="D7" s="14">
        <v>0.125</v>
      </c>
      <c r="E7" s="14">
        <v>0.23599999999999999</v>
      </c>
      <c r="F7" s="14">
        <v>0.379</v>
      </c>
      <c r="G7" s="14">
        <v>0.55600000000000005</v>
      </c>
      <c r="H7" s="13">
        <v>0.79100000000000004</v>
      </c>
      <c r="I7" s="14">
        <v>0.81</v>
      </c>
      <c r="J7" s="14">
        <v>0.77100000000000002</v>
      </c>
      <c r="K7" s="35">
        <v>0.32874187500000002</v>
      </c>
      <c r="L7" s="35">
        <v>0.62066466000000009</v>
      </c>
      <c r="M7" s="35">
        <v>0.99674536500000011</v>
      </c>
      <c r="N7" s="35">
        <v>1.4622438600000003</v>
      </c>
      <c r="O7" s="35">
        <v>2.0802785849999998</v>
      </c>
    </row>
    <row r="8" spans="1:15" x14ac:dyDescent="0.25">
      <c r="A8" s="15" t="s">
        <v>24</v>
      </c>
      <c r="B8" s="32">
        <v>70</v>
      </c>
      <c r="C8" s="32">
        <v>180</v>
      </c>
      <c r="D8" s="25">
        <v>4.2571428571428573E-2</v>
      </c>
      <c r="E8" s="25">
        <v>5.3214285714285714E-2</v>
      </c>
      <c r="F8" s="25">
        <v>6.3857142857142848E-2</v>
      </c>
      <c r="G8" s="25">
        <v>7.4499999999999997E-2</v>
      </c>
      <c r="H8" s="25">
        <v>8.5142857142857145E-2</v>
      </c>
      <c r="I8" s="34">
        <v>0.81</v>
      </c>
      <c r="J8" s="34">
        <v>0.16300000000000001</v>
      </c>
      <c r="K8" s="35">
        <v>7.3523198571428569E-2</v>
      </c>
      <c r="L8" s="35">
        <v>9.1903998214285729E-2</v>
      </c>
      <c r="M8" s="35">
        <v>0.11028479785714285</v>
      </c>
      <c r="N8" s="35">
        <v>0.12866559750000001</v>
      </c>
      <c r="O8" s="35">
        <v>0.14704639714285714</v>
      </c>
    </row>
    <row r="9" spans="1:15" x14ac:dyDescent="0.25">
      <c r="A9" s="15" t="s">
        <v>1</v>
      </c>
      <c r="B9" s="32">
        <v>40</v>
      </c>
      <c r="C9" s="32">
        <v>110</v>
      </c>
      <c r="D9" s="25">
        <v>5.5E-2</v>
      </c>
      <c r="E9" s="25">
        <v>6.8750000000000006E-2</v>
      </c>
      <c r="F9" s="25">
        <v>8.2500000000000004E-2</v>
      </c>
      <c r="G9" s="25">
        <v>9.6250000000000002E-2</v>
      </c>
      <c r="H9" s="33">
        <v>0.11</v>
      </c>
      <c r="I9" s="34">
        <v>0.83</v>
      </c>
      <c r="J9" s="34">
        <v>0.504</v>
      </c>
      <c r="K9" s="35">
        <v>0.12587226666666668</v>
      </c>
      <c r="L9" s="35">
        <v>0.15734033333333336</v>
      </c>
      <c r="M9" s="35">
        <v>0.18880840000000004</v>
      </c>
      <c r="N9" s="35">
        <v>0.22027646666666667</v>
      </c>
      <c r="O9" s="35">
        <v>0.25174453333333335</v>
      </c>
    </row>
    <row r="10" spans="1:15" x14ac:dyDescent="0.25">
      <c r="A10" s="15" t="s">
        <v>42</v>
      </c>
      <c r="B10" s="32">
        <v>40</v>
      </c>
      <c r="C10" s="32">
        <v>140</v>
      </c>
      <c r="D10" s="25">
        <v>4.8500000000000001E-2</v>
      </c>
      <c r="E10" s="25">
        <v>6.0624999999999991E-2</v>
      </c>
      <c r="F10" s="25">
        <v>7.2749999999999995E-2</v>
      </c>
      <c r="G10" s="25">
        <v>8.4875000000000006E-2</v>
      </c>
      <c r="H10" s="33">
        <v>9.7000000000000003E-2</v>
      </c>
      <c r="I10" s="34">
        <v>0.55000000000000004</v>
      </c>
      <c r="J10" s="34">
        <v>0.25900000000000001</v>
      </c>
      <c r="K10" s="35">
        <v>6.1570345833333325E-2</v>
      </c>
      <c r="L10" s="35">
        <v>7.6962932291666661E-2</v>
      </c>
      <c r="M10" s="35">
        <v>9.235551874999999E-2</v>
      </c>
      <c r="N10" s="35">
        <v>0.10774810520833335</v>
      </c>
      <c r="O10" s="35">
        <v>0.12314069166666665</v>
      </c>
    </row>
    <row r="11" spans="1:15" x14ac:dyDescent="0.25">
      <c r="A11" s="15" t="s">
        <v>43</v>
      </c>
      <c r="B11" s="32">
        <v>50</v>
      </c>
      <c r="C11" s="32">
        <v>140</v>
      </c>
      <c r="D11" s="25">
        <v>3.8799999999999994E-2</v>
      </c>
      <c r="E11" s="25">
        <v>4.8500000000000001E-2</v>
      </c>
      <c r="F11" s="25">
        <v>5.8199999999999995E-2</v>
      </c>
      <c r="G11" s="25">
        <v>6.7899999999999988E-2</v>
      </c>
      <c r="H11" s="33">
        <v>7.7599999999999988E-2</v>
      </c>
      <c r="I11" s="34">
        <v>0.74</v>
      </c>
      <c r="J11" s="34">
        <v>0.22900000000000001</v>
      </c>
      <c r="K11" s="35">
        <v>6.4692921333333334E-2</v>
      </c>
      <c r="L11" s="35">
        <v>8.086615166666665E-2</v>
      </c>
      <c r="M11" s="35">
        <v>9.7039382000000007E-2</v>
      </c>
      <c r="N11" s="35">
        <v>0.11321261233333332</v>
      </c>
      <c r="O11" s="35">
        <v>0.12938584266666667</v>
      </c>
    </row>
    <row r="12" spans="1:15" x14ac:dyDescent="0.25">
      <c r="A12" s="15" t="s">
        <v>44</v>
      </c>
      <c r="B12" s="32">
        <v>50</v>
      </c>
      <c r="C12" s="32">
        <v>170</v>
      </c>
      <c r="D12" s="14">
        <v>4.3999999999999997E-2</v>
      </c>
      <c r="E12" s="14">
        <v>5.5000000000000007E-2</v>
      </c>
      <c r="F12" s="14">
        <v>6.6000000000000003E-2</v>
      </c>
      <c r="G12" s="14">
        <v>7.6999999999999999E-2</v>
      </c>
      <c r="H12" s="13">
        <v>8.7999999999999995E-2</v>
      </c>
      <c r="I12" s="34">
        <v>0.64</v>
      </c>
      <c r="J12" s="34">
        <v>0.24</v>
      </c>
      <c r="K12" s="35">
        <v>6.4017066666666664E-2</v>
      </c>
      <c r="L12" s="35">
        <v>8.0021333333333347E-2</v>
      </c>
      <c r="M12" s="35">
        <v>9.6025599999999989E-2</v>
      </c>
      <c r="N12" s="35">
        <v>0.11202986666666667</v>
      </c>
      <c r="O12" s="35">
        <v>0.12803413333333333</v>
      </c>
    </row>
    <row r="13" spans="1:15" x14ac:dyDescent="0.25">
      <c r="A13" s="15" t="s">
        <v>45</v>
      </c>
      <c r="B13" s="14">
        <v>15</v>
      </c>
      <c r="C13" s="14">
        <v>50</v>
      </c>
      <c r="D13" s="14">
        <v>0.109</v>
      </c>
      <c r="E13" s="14">
        <v>0.221</v>
      </c>
      <c r="F13" s="14">
        <v>0.379</v>
      </c>
      <c r="G13" s="14">
        <v>0.56899999999999995</v>
      </c>
      <c r="H13" s="13">
        <v>0.79900000000000004</v>
      </c>
      <c r="I13" s="14">
        <v>0.55000000000000004</v>
      </c>
      <c r="J13" s="14">
        <v>0.28499999999999998</v>
      </c>
      <c r="K13" s="35">
        <v>0.14123220833333333</v>
      </c>
      <c r="L13" s="35">
        <v>0.28635154166666665</v>
      </c>
      <c r="M13" s="35">
        <v>0.49107345833333343</v>
      </c>
      <c r="N13" s="35">
        <v>0.73725804166666664</v>
      </c>
      <c r="O13" s="35">
        <v>1.0352709583333333</v>
      </c>
    </row>
    <row r="14" spans="1:15" x14ac:dyDescent="0.25">
      <c r="A14" s="15" t="s">
        <v>105</v>
      </c>
      <c r="B14" s="14">
        <v>30</v>
      </c>
      <c r="C14" s="14">
        <v>120</v>
      </c>
      <c r="D14" s="25">
        <v>6.0666666666666667E-2</v>
      </c>
      <c r="E14" s="25">
        <v>7.5833333333333322E-2</v>
      </c>
      <c r="F14" s="25">
        <v>9.0999999999999998E-2</v>
      </c>
      <c r="G14" s="25">
        <v>0.15225</v>
      </c>
      <c r="H14" s="33">
        <v>0.17399999999999999</v>
      </c>
      <c r="I14" s="14">
        <v>0.55000000000000004</v>
      </c>
      <c r="J14" s="14">
        <v>0.28499999999999998</v>
      </c>
      <c r="K14" s="35">
        <v>7.8606305555555561E-2</v>
      </c>
      <c r="L14" s="35">
        <v>9.8257881944444431E-2</v>
      </c>
      <c r="M14" s="35">
        <v>0.11790945833333333</v>
      </c>
      <c r="N14" s="35">
        <v>0.19727159375</v>
      </c>
      <c r="O14" s="35">
        <v>0.22545325000000002</v>
      </c>
    </row>
    <row r="15" spans="1:15" x14ac:dyDescent="0.25">
      <c r="A15" s="15" t="s">
        <v>46</v>
      </c>
      <c r="B15" s="32">
        <v>40</v>
      </c>
      <c r="C15" s="32">
        <v>110</v>
      </c>
      <c r="D15" s="14">
        <v>6.8000000000000005E-2</v>
      </c>
      <c r="E15" s="14">
        <v>8.5000000000000006E-2</v>
      </c>
      <c r="F15" s="14">
        <v>0.10199999999999999</v>
      </c>
      <c r="G15" s="14">
        <v>0.11899999999999999</v>
      </c>
      <c r="H15" s="13">
        <v>0.13600000000000001</v>
      </c>
      <c r="I15" s="34">
        <v>0.73</v>
      </c>
      <c r="J15" s="34">
        <v>0.24299999999999999</v>
      </c>
      <c r="K15" s="35">
        <v>0.11312128666666665</v>
      </c>
      <c r="L15" s="35">
        <v>0.14140160833333335</v>
      </c>
      <c r="M15" s="35">
        <v>0.16968192999999995</v>
      </c>
      <c r="N15" s="35">
        <v>0.19796225166666664</v>
      </c>
      <c r="O15" s="35">
        <v>0.22624257333333331</v>
      </c>
    </row>
    <row r="16" spans="1:15" x14ac:dyDescent="0.25">
      <c r="A16" s="15" t="s">
        <v>47</v>
      </c>
      <c r="B16" s="14">
        <v>10</v>
      </c>
      <c r="C16" s="14">
        <v>40</v>
      </c>
      <c r="D16" s="14">
        <v>0.25600000000000001</v>
      </c>
      <c r="E16" s="14">
        <v>0.53400000000000003</v>
      </c>
      <c r="F16" s="14">
        <v>0.92300000000000004</v>
      </c>
      <c r="G16" s="14">
        <v>1.4350000000000001</v>
      </c>
      <c r="H16" s="13">
        <v>2.0790000000000002</v>
      </c>
      <c r="I16" s="14">
        <v>0.44</v>
      </c>
      <c r="J16" s="14">
        <v>0.28499999999999998</v>
      </c>
      <c r="K16" s="35">
        <v>0.26536106666666665</v>
      </c>
      <c r="L16" s="35">
        <v>0.55352659999999998</v>
      </c>
      <c r="M16" s="35">
        <v>0.95675103333333333</v>
      </c>
      <c r="N16" s="35">
        <v>1.4874731666666665</v>
      </c>
      <c r="O16" s="35">
        <v>2.1550221000000001</v>
      </c>
    </row>
    <row r="17" spans="1:15" x14ac:dyDescent="0.25">
      <c r="A17" s="15" t="s">
        <v>48</v>
      </c>
      <c r="B17" s="32">
        <v>40</v>
      </c>
      <c r="C17" s="32">
        <v>140</v>
      </c>
      <c r="D17" s="14">
        <v>6.2E-2</v>
      </c>
      <c r="E17" s="14">
        <v>7.7499999999999999E-2</v>
      </c>
      <c r="F17" s="14">
        <v>9.2999999999999999E-2</v>
      </c>
      <c r="G17" s="14">
        <v>0.1085</v>
      </c>
      <c r="H17" s="13">
        <v>0.124</v>
      </c>
      <c r="I17" s="34">
        <v>0.62</v>
      </c>
      <c r="J17" s="34">
        <v>0.27900000000000003</v>
      </c>
      <c r="K17" s="35">
        <v>9.0135393333333313E-2</v>
      </c>
      <c r="L17" s="35">
        <v>0.11266924166666666</v>
      </c>
      <c r="M17" s="35">
        <v>0.13520308999999997</v>
      </c>
      <c r="N17" s="35">
        <v>0.15773693833333333</v>
      </c>
      <c r="O17" s="35">
        <v>0.18027078666666663</v>
      </c>
    </row>
    <row r="18" spans="1:15" x14ac:dyDescent="0.25">
      <c r="A18" s="16" t="s">
        <v>49</v>
      </c>
      <c r="B18" s="32">
        <v>50</v>
      </c>
      <c r="C18" s="32">
        <v>200</v>
      </c>
      <c r="D18" s="14">
        <v>3.2000000000000001E-2</v>
      </c>
      <c r="E18" s="14">
        <v>0.04</v>
      </c>
      <c r="F18" s="14">
        <v>4.8000000000000001E-2</v>
      </c>
      <c r="G18" s="14">
        <v>5.6000000000000001E-2</v>
      </c>
      <c r="H18" s="13">
        <v>6.4000000000000001E-2</v>
      </c>
      <c r="I18" s="34">
        <v>0.61</v>
      </c>
      <c r="J18" s="34">
        <v>0.38500000000000001</v>
      </c>
      <c r="K18" s="35">
        <v>4.9564533333333334E-2</v>
      </c>
      <c r="L18" s="35">
        <v>6.1955666666666666E-2</v>
      </c>
      <c r="M18" s="35">
        <v>7.4346800000000005E-2</v>
      </c>
      <c r="N18" s="35">
        <v>8.6737933333333336E-2</v>
      </c>
      <c r="O18" s="35">
        <v>9.9129066666666668E-2</v>
      </c>
    </row>
    <row r="19" spans="1:15" x14ac:dyDescent="0.25">
      <c r="A19" s="15" t="s">
        <v>52</v>
      </c>
      <c r="B19" s="14">
        <v>10</v>
      </c>
      <c r="C19" s="14">
        <v>45</v>
      </c>
      <c r="D19" s="14">
        <v>0.218</v>
      </c>
      <c r="E19" s="14">
        <v>0.38100000000000001</v>
      </c>
      <c r="F19" s="14">
        <v>0.57399999999999995</v>
      </c>
      <c r="G19" s="14">
        <v>0.79300000000000004</v>
      </c>
      <c r="H19" s="13">
        <v>1.036</v>
      </c>
      <c r="I19" s="14">
        <v>0.62</v>
      </c>
      <c r="J19" s="14">
        <v>0.36299999999999999</v>
      </c>
      <c r="K19" s="35">
        <v>0.33774231333333332</v>
      </c>
      <c r="L19" s="35">
        <v>0.59027441000000003</v>
      </c>
      <c r="M19" s="35">
        <v>0.88928480666666643</v>
      </c>
      <c r="N19" s="35">
        <v>1.228576396666667</v>
      </c>
      <c r="O19" s="35">
        <v>1.6050506266666669</v>
      </c>
    </row>
    <row r="20" spans="1:15" x14ac:dyDescent="0.25">
      <c r="A20" s="15" t="s">
        <v>146</v>
      </c>
      <c r="B20" s="32">
        <v>60</v>
      </c>
      <c r="C20" s="32">
        <v>170</v>
      </c>
      <c r="D20" s="25">
        <v>3.5333333333333328E-2</v>
      </c>
      <c r="E20" s="25">
        <v>4.4166666666666667E-2</v>
      </c>
      <c r="F20" s="25">
        <v>5.2999999999999999E-2</v>
      </c>
      <c r="G20" s="25">
        <v>6.183333333333333E-2</v>
      </c>
      <c r="H20" s="33">
        <v>7.0666666666666655E-2</v>
      </c>
      <c r="I20" s="34">
        <v>1.1100000000000001</v>
      </c>
      <c r="J20" s="34">
        <v>0.35699999999999998</v>
      </c>
      <c r="K20" s="35">
        <v>9.7572823333333336E-2</v>
      </c>
      <c r="L20" s="35">
        <v>0.12196602916666668</v>
      </c>
      <c r="M20" s="35">
        <v>0.146359235</v>
      </c>
      <c r="N20" s="35">
        <v>0.17075244083333332</v>
      </c>
      <c r="O20" s="35">
        <v>0.19514564666666667</v>
      </c>
    </row>
    <row r="21" spans="1:15" x14ac:dyDescent="0.25">
      <c r="A21" s="15" t="s">
        <v>59</v>
      </c>
      <c r="B21" s="32">
        <v>50</v>
      </c>
      <c r="C21" s="32">
        <v>170</v>
      </c>
      <c r="D21" s="14">
        <v>3.7999999999999999E-2</v>
      </c>
      <c r="E21" s="14">
        <v>4.7500000000000001E-2</v>
      </c>
      <c r="F21" s="14">
        <v>5.7000000000000002E-2</v>
      </c>
      <c r="G21" s="14">
        <v>6.6500000000000004E-2</v>
      </c>
      <c r="H21" s="13">
        <v>7.5999999999999998E-2</v>
      </c>
      <c r="I21" s="34">
        <v>0.84</v>
      </c>
      <c r="J21" s="34">
        <v>0.35699999999999998</v>
      </c>
      <c r="K21" s="35">
        <v>7.9411640000000006E-2</v>
      </c>
      <c r="L21" s="35">
        <v>9.9264549999999993E-2</v>
      </c>
      <c r="M21" s="35">
        <v>0.11911745999999999</v>
      </c>
      <c r="N21" s="35">
        <v>0.13897037000000001</v>
      </c>
      <c r="O21" s="35">
        <v>0.15882328000000001</v>
      </c>
    </row>
    <row r="22" spans="1:15" x14ac:dyDescent="0.25">
      <c r="A22" s="15" t="s">
        <v>61</v>
      </c>
      <c r="B22" s="32">
        <v>50</v>
      </c>
      <c r="C22" s="32">
        <v>160</v>
      </c>
      <c r="D22" s="25">
        <v>3.8399999999999997E-2</v>
      </c>
      <c r="E22" s="25">
        <v>4.8000000000000001E-2</v>
      </c>
      <c r="F22" s="25">
        <v>5.7599999999999991E-2</v>
      </c>
      <c r="G22" s="25">
        <v>6.720000000000001E-2</v>
      </c>
      <c r="H22" s="33">
        <v>7.6799999999999993E-2</v>
      </c>
      <c r="I22" s="34">
        <v>1.1100000000000001</v>
      </c>
      <c r="J22" s="34">
        <v>0.35299999999999998</v>
      </c>
      <c r="K22" s="35">
        <v>0.10572883199999998</v>
      </c>
      <c r="L22" s="35">
        <v>0.13216104000000001</v>
      </c>
      <c r="M22" s="35">
        <v>0.15859324799999999</v>
      </c>
      <c r="N22" s="35">
        <v>0.18502545600000006</v>
      </c>
      <c r="O22" s="35">
        <v>0.21145766399999996</v>
      </c>
    </row>
    <row r="23" spans="1:15" x14ac:dyDescent="0.25">
      <c r="A23" s="15" t="s">
        <v>62</v>
      </c>
      <c r="B23" s="32">
        <v>40</v>
      </c>
      <c r="C23" s="32">
        <v>130</v>
      </c>
      <c r="D23" s="25">
        <v>5.6500000000000002E-2</v>
      </c>
      <c r="E23" s="25">
        <v>7.0624999999999993E-2</v>
      </c>
      <c r="F23" s="25">
        <v>8.4750000000000006E-2</v>
      </c>
      <c r="G23" s="25">
        <v>9.8875000000000005E-2</v>
      </c>
      <c r="H23" s="33">
        <v>0.113</v>
      </c>
      <c r="I23" s="34">
        <v>0.84</v>
      </c>
      <c r="J23" s="34">
        <v>0.35699999999999998</v>
      </c>
      <c r="K23" s="35">
        <v>0.11807257</v>
      </c>
      <c r="L23" s="35">
        <v>0.1475907125</v>
      </c>
      <c r="M23" s="35">
        <v>0.17710885500000004</v>
      </c>
      <c r="N23" s="35">
        <v>0.20662699749999999</v>
      </c>
      <c r="O23" s="35">
        <v>0.23614514</v>
      </c>
    </row>
    <row r="24" spans="1:15" x14ac:dyDescent="0.25">
      <c r="A24" s="15" t="s">
        <v>73</v>
      </c>
      <c r="B24" s="14">
        <v>30</v>
      </c>
      <c r="C24" s="14">
        <v>90</v>
      </c>
      <c r="D24" s="25">
        <v>7.2666666666666671E-2</v>
      </c>
      <c r="E24" s="25">
        <v>9.0833333333333335E-2</v>
      </c>
      <c r="F24" s="25">
        <v>0.109</v>
      </c>
      <c r="G24" s="25">
        <v>0.20300000000000001</v>
      </c>
      <c r="H24" s="33">
        <v>0.23200000000000001</v>
      </c>
      <c r="I24" s="14">
        <v>0.9</v>
      </c>
      <c r="J24" s="14">
        <v>0.504</v>
      </c>
      <c r="K24" s="35">
        <v>0.18032959999999998</v>
      </c>
      <c r="L24" s="35">
        <v>0.225412</v>
      </c>
      <c r="M24" s="35">
        <v>0.27049440000000002</v>
      </c>
      <c r="N24" s="35">
        <v>0.50376480000000001</v>
      </c>
      <c r="O24" s="35">
        <v>0.5757312</v>
      </c>
    </row>
  </sheetData>
  <phoneticPr fontId="75"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6"/>
  <sheetViews>
    <sheetView workbookViewId="0">
      <selection activeCell="H95" activeCellId="1" sqref="I29 H95"/>
    </sheetView>
  </sheetViews>
  <sheetFormatPr baseColWidth="10" defaultColWidth="26.7109375" defaultRowHeight="15" x14ac:dyDescent="0.25"/>
  <cols>
    <col min="1" max="1" width="25.140625" bestFit="1" customWidth="1"/>
    <col min="2" max="2" width="6.5703125" bestFit="1" customWidth="1"/>
    <col min="3" max="3" width="5.5703125" bestFit="1" customWidth="1"/>
    <col min="4" max="4" width="2" bestFit="1" customWidth="1"/>
    <col min="5" max="6" width="7.7109375" bestFit="1" customWidth="1"/>
    <col min="7" max="7" width="8.5703125" bestFit="1" customWidth="1"/>
    <col min="8" max="8" width="9.7109375" bestFit="1" customWidth="1"/>
    <col min="9" max="9" width="10.85546875" bestFit="1" customWidth="1"/>
    <col min="10" max="10" width="7.42578125" bestFit="1" customWidth="1"/>
    <col min="11" max="11" width="7.7109375" bestFit="1" customWidth="1"/>
    <col min="12" max="12" width="8.5703125" bestFit="1" customWidth="1"/>
    <col min="13" max="13" width="17" bestFit="1" customWidth="1"/>
    <col min="14" max="14" width="7.5703125" bestFit="1" customWidth="1"/>
    <col min="15" max="15" width="8.140625" bestFit="1" customWidth="1"/>
    <col min="16" max="103" width="11" customWidth="1"/>
  </cols>
  <sheetData>
    <row r="1" spans="1:16" ht="28.5" x14ac:dyDescent="0.25">
      <c r="A1" s="45" t="s">
        <v>93</v>
      </c>
      <c r="B1" s="46" t="s">
        <v>157</v>
      </c>
      <c r="C1" s="46" t="s">
        <v>158</v>
      </c>
      <c r="D1" s="46" t="s">
        <v>159</v>
      </c>
      <c r="E1" s="47" t="s">
        <v>160</v>
      </c>
      <c r="F1" s="47" t="s">
        <v>161</v>
      </c>
      <c r="G1" s="47" t="s">
        <v>162</v>
      </c>
      <c r="H1" s="47" t="s">
        <v>163</v>
      </c>
      <c r="I1" s="47" t="s">
        <v>226</v>
      </c>
      <c r="J1" s="47" t="s">
        <v>165</v>
      </c>
      <c r="K1" s="47" t="s">
        <v>166</v>
      </c>
      <c r="L1" s="47" t="s">
        <v>167</v>
      </c>
      <c r="M1" s="48" t="s">
        <v>168</v>
      </c>
      <c r="N1" s="48" t="s">
        <v>169</v>
      </c>
      <c r="O1" s="49" t="s">
        <v>170</v>
      </c>
      <c r="P1" s="49" t="s">
        <v>225</v>
      </c>
    </row>
    <row r="2" spans="1:16" x14ac:dyDescent="0.25">
      <c r="A2" s="112" t="s">
        <v>3</v>
      </c>
      <c r="B2" s="6">
        <v>40</v>
      </c>
      <c r="C2" s="6">
        <v>10</v>
      </c>
      <c r="D2" s="50"/>
      <c r="E2" s="51">
        <f>0.0189*POWER(B2,2)*C2</f>
        <v>302.40000000000003</v>
      </c>
      <c r="F2" s="51"/>
      <c r="G2" s="51">
        <f>0.0584*POWER(B2,2)</f>
        <v>93.44</v>
      </c>
      <c r="H2" s="51"/>
      <c r="I2" s="51">
        <f>0.0371*POWER(B2,2)+0.968*C2</f>
        <v>69.039999999999992</v>
      </c>
      <c r="J2" s="51"/>
      <c r="K2" s="51"/>
      <c r="L2" s="51"/>
      <c r="M2" s="51">
        <f t="shared" ref="M2:M30" si="0">E2+F2+G2+H2+I2+J2+K2</f>
        <v>464.88</v>
      </c>
      <c r="N2" s="51">
        <f>0.101*POWER(B2,2)</f>
        <v>161.60000000000002</v>
      </c>
      <c r="O2" s="41">
        <f>M2+N2</f>
        <v>626.48</v>
      </c>
      <c r="P2" s="58">
        <f>O2*0.5*44/12</f>
        <v>1148.5466666666669</v>
      </c>
    </row>
    <row r="3" spans="1:16" x14ac:dyDescent="0.25">
      <c r="A3" s="112" t="s">
        <v>182</v>
      </c>
      <c r="B3" s="6">
        <v>40</v>
      </c>
      <c r="C3" s="6">
        <v>10</v>
      </c>
      <c r="D3" s="50">
        <f>IF(B3&gt;32.5,1,0)</f>
        <v>1</v>
      </c>
      <c r="E3" s="51">
        <f>0.0096*POWER(B3,2)*C3</f>
        <v>153.6</v>
      </c>
      <c r="F3" s="51"/>
      <c r="G3" s="51">
        <f>(1.637*POWER((B3-32.5),2)-0.0719*POWER((B3-32.5),2)*C3)*D3</f>
        <v>51.637499999999989</v>
      </c>
      <c r="H3" s="51">
        <f>0.00344*POWER(B3,2)*C3</f>
        <v>55.039999999999992</v>
      </c>
      <c r="I3" s="51">
        <f>0.131*B3*C3</f>
        <v>52.400000000000006</v>
      </c>
      <c r="J3" s="51"/>
      <c r="K3" s="51"/>
      <c r="L3" s="51"/>
      <c r="M3" s="51"/>
      <c r="N3" s="51"/>
      <c r="O3" s="41"/>
      <c r="P3" s="58"/>
    </row>
    <row r="4" spans="1:16" s="4" customFormat="1" x14ac:dyDescent="0.25">
      <c r="A4" s="112" t="s">
        <v>0</v>
      </c>
      <c r="B4" s="6">
        <v>40</v>
      </c>
      <c r="C4" s="6">
        <v>10</v>
      </c>
      <c r="D4" s="50"/>
      <c r="E4" s="51">
        <f>0.0191*POWER(B4,2)*C4</f>
        <v>305.59999999999997</v>
      </c>
      <c r="F4" s="51"/>
      <c r="G4" s="51">
        <f>0.0512*POWER(B4,2)</f>
        <v>81.92</v>
      </c>
      <c r="H4" s="51"/>
      <c r="I4" s="51">
        <f>0.0567*B4*C4</f>
        <v>22.68</v>
      </c>
      <c r="J4" s="51"/>
      <c r="K4" s="51"/>
      <c r="L4" s="51"/>
      <c r="M4" s="51">
        <f t="shared" si="0"/>
        <v>410.2</v>
      </c>
      <c r="N4" s="51">
        <f>0.214*POWER(B4,2)</f>
        <v>342.4</v>
      </c>
      <c r="O4" s="41">
        <f t="shared" ref="O4:O30" si="1">M4+N4</f>
        <v>752.59999999999991</v>
      </c>
      <c r="P4" s="58">
        <f t="shared" ref="P4:P30" si="2">O4*0.5*44/12</f>
        <v>1379.7666666666664</v>
      </c>
    </row>
    <row r="5" spans="1:16" x14ac:dyDescent="0.25">
      <c r="A5" s="52" t="s">
        <v>171</v>
      </c>
      <c r="B5" s="6">
        <v>40</v>
      </c>
      <c r="C5" s="6">
        <v>10</v>
      </c>
      <c r="D5" s="50"/>
      <c r="E5" s="51">
        <f>-3.824+0.01709*POWER(B5,2)*C5</f>
        <v>269.61599999999999</v>
      </c>
      <c r="F5" s="51">
        <f>0.00165*POWER(B5,2.392)*POWER(C5,0.761)</f>
        <v>64.656388622730887</v>
      </c>
      <c r="G5" s="51">
        <f>0.04649*POWER(B5,2.183)</f>
        <v>146.10211646294536</v>
      </c>
      <c r="H5" s="51"/>
      <c r="I5" s="51">
        <f>0.01246*POWER(B5,2.44)</f>
        <v>101.05188546563815</v>
      </c>
      <c r="J5" s="51">
        <f>0.01908*POWER(B5,2)</f>
        <v>30.527999999999999</v>
      </c>
      <c r="K5" s="51">
        <f>0.001016*POWER(B5,2)*C5</f>
        <v>16.256</v>
      </c>
      <c r="L5" s="51"/>
      <c r="M5" s="51">
        <f t="shared" si="0"/>
        <v>628.21039055131439</v>
      </c>
      <c r="N5" s="51">
        <f>1.042*POWER(B5,1.254)</f>
        <v>106.3777861994793</v>
      </c>
      <c r="O5" s="41">
        <f t="shared" si="1"/>
        <v>734.58817675079365</v>
      </c>
      <c r="P5" s="58">
        <f t="shared" si="2"/>
        <v>1346.7449907097882</v>
      </c>
    </row>
    <row r="6" spans="1:16" s="4" customFormat="1" x14ac:dyDescent="0.25">
      <c r="A6" s="112" t="s">
        <v>10</v>
      </c>
      <c r="B6" s="6">
        <v>40</v>
      </c>
      <c r="C6" s="6">
        <v>10</v>
      </c>
      <c r="D6" s="50">
        <f>IF(B6&gt;12.5,1,0)</f>
        <v>1</v>
      </c>
      <c r="E6" s="51">
        <f>0.0142*POWER(B6,2)*C6</f>
        <v>227.20000000000002</v>
      </c>
      <c r="F6" s="51"/>
      <c r="G6" s="51">
        <f>0.223*POWER((B6-12.5),2)*D6</f>
        <v>168.64375000000001</v>
      </c>
      <c r="H6" s="51">
        <f>0.23*B6*C6</f>
        <v>92.000000000000014</v>
      </c>
      <c r="I6" s="51">
        <f>0.221*B6*C6</f>
        <v>88.4</v>
      </c>
      <c r="J6" s="51"/>
      <c r="K6" s="51"/>
      <c r="L6" s="51"/>
      <c r="M6" s="51">
        <f t="shared" si="0"/>
        <v>576.24374999999998</v>
      </c>
      <c r="N6" s="51">
        <f>0.0211*POWER(B6,2.804)</f>
        <v>655.32791951357524</v>
      </c>
      <c r="O6" s="41">
        <f t="shared" si="1"/>
        <v>1231.5716695135752</v>
      </c>
      <c r="P6" s="58">
        <f t="shared" si="2"/>
        <v>2257.8813941082212</v>
      </c>
    </row>
    <row r="7" spans="1:16" x14ac:dyDescent="0.25">
      <c r="A7" s="112" t="s">
        <v>172</v>
      </c>
      <c r="B7" s="6">
        <v>40</v>
      </c>
      <c r="C7" s="6">
        <v>10</v>
      </c>
      <c r="D7" s="50"/>
      <c r="E7" s="51">
        <f>0.142*POWER(B7,1.974)</f>
        <v>206.42142283778551</v>
      </c>
      <c r="F7" s="51"/>
      <c r="G7" s="51">
        <f>0.104*POWER(B7,2)</f>
        <v>166.4</v>
      </c>
      <c r="H7" s="51">
        <f>0.0538*POWER(C7,2)</f>
        <v>5.38</v>
      </c>
      <c r="I7" s="51">
        <f>0.151*POWER(B7,2)-0.0074*POWER(B7,2)*C7</f>
        <v>123.19999999999999</v>
      </c>
      <c r="J7" s="51"/>
      <c r="K7" s="51"/>
      <c r="L7" s="51"/>
      <c r="M7" s="51">
        <f t="shared" si="0"/>
        <v>501.4014228377855</v>
      </c>
      <c r="N7" s="51">
        <f>0.335*POWER(B7,2)</f>
        <v>536</v>
      </c>
      <c r="O7" s="41">
        <f t="shared" si="1"/>
        <v>1037.4014228377855</v>
      </c>
      <c r="P7" s="58">
        <f t="shared" si="2"/>
        <v>1901.9026085359401</v>
      </c>
    </row>
    <row r="8" spans="1:16" s="4" customFormat="1" x14ac:dyDescent="0.25">
      <c r="A8" s="112" t="s">
        <v>23</v>
      </c>
      <c r="B8" s="6">
        <v>40</v>
      </c>
      <c r="C8" s="6">
        <v>10</v>
      </c>
      <c r="D8" s="50"/>
      <c r="E8" s="51">
        <f>0.0221*POWER(B8,2)*C8</f>
        <v>353.6</v>
      </c>
      <c r="F8" s="51"/>
      <c r="G8" s="51"/>
      <c r="H8" s="51">
        <f>0.154*POWER(B8,1.668)</f>
        <v>72.403037497251546</v>
      </c>
      <c r="I8" s="51">
        <f>0.18*POWER((POWER(B8,2)*C8),0.587)</f>
        <v>52.855591207872543</v>
      </c>
      <c r="J8" s="51"/>
      <c r="K8" s="51"/>
      <c r="L8" s="51"/>
      <c r="M8" s="51">
        <f t="shared" si="0"/>
        <v>478.85862870512409</v>
      </c>
      <c r="N8" s="50">
        <f>IF(B8&lt;22.5,170.3,(IF(B8&lt;42.5,199.5,229.4)))</f>
        <v>199.5</v>
      </c>
      <c r="O8" s="41">
        <f t="shared" si="1"/>
        <v>678.35862870512415</v>
      </c>
      <c r="P8" s="58">
        <f t="shared" si="2"/>
        <v>1243.6574859593943</v>
      </c>
    </row>
    <row r="9" spans="1:16" x14ac:dyDescent="0.25">
      <c r="A9" s="52" t="s">
        <v>173</v>
      </c>
      <c r="B9" s="6">
        <v>40</v>
      </c>
      <c r="C9" s="6">
        <v>10</v>
      </c>
      <c r="D9" s="50"/>
      <c r="E9" s="51">
        <f>0.0094*POWER(B9,2.033)*POWER(C9,1.056)</f>
        <v>193.24835955440861</v>
      </c>
      <c r="F9" s="51">
        <f>0.01342*POWER(B9,2.361)</f>
        <v>81.323517569768967</v>
      </c>
      <c r="G9" s="51"/>
      <c r="H9" s="51">
        <f>0.000059*POWER(B9,3.76)</f>
        <v>62.315714516081009</v>
      </c>
      <c r="I9" s="51">
        <f>0.0128*POWER(B9,1.858)</f>
        <v>12.129347359646987</v>
      </c>
      <c r="J9" s="51">
        <f>0.000922*POWER(B9,2.632)</f>
        <v>15.182833108168888</v>
      </c>
      <c r="K9" s="51">
        <f>0.0053*POWER(B9,2.393)</f>
        <v>36.141438043058841</v>
      </c>
      <c r="L9" s="51">
        <f>0.1451*POWER(B9,1.403)</f>
        <v>25.665963970289244</v>
      </c>
      <c r="M9" s="51">
        <f t="shared" si="0"/>
        <v>400.34121015113334</v>
      </c>
      <c r="N9" s="50">
        <f>IF(B9&lt;22.5,170.3,(IF(B9&lt;42.5,199.5,229.4)))</f>
        <v>199.5</v>
      </c>
      <c r="O9" s="41">
        <f t="shared" si="1"/>
        <v>599.84121015113328</v>
      </c>
      <c r="P9" s="58">
        <f t="shared" si="2"/>
        <v>1099.7088852770778</v>
      </c>
    </row>
    <row r="10" spans="1:16" s="4" customFormat="1" x14ac:dyDescent="0.25">
      <c r="A10" s="52" t="s">
        <v>174</v>
      </c>
      <c r="B10" s="6">
        <v>40</v>
      </c>
      <c r="C10" s="6">
        <v>10</v>
      </c>
      <c r="D10" s="50">
        <f>IF(B10&gt;22.5,1,0)</f>
        <v>1</v>
      </c>
      <c r="E10" s="51">
        <f>0.0676*POWER(B10,2)+0.0182*POWER(B10,2)*C10</f>
        <v>399.36</v>
      </c>
      <c r="F10" s="51"/>
      <c r="G10" s="51">
        <f>(0.83*POWER((B10-22.5),2)-0.0248*POWER((B10-22.5),2)*C10)*D10</f>
        <v>178.23750000000001</v>
      </c>
      <c r="H10" s="51">
        <f>0.0792*POWER(B10,2)</f>
        <v>126.72000000000001</v>
      </c>
      <c r="I10" s="51">
        <f>0.093*POWER(B10,2)-0.00226*POWER(B10,2)*C10</f>
        <v>112.64000000000001</v>
      </c>
      <c r="J10" s="51"/>
      <c r="K10" s="51"/>
      <c r="L10" s="51"/>
      <c r="M10" s="51">
        <f t="shared" si="0"/>
        <v>816.9575000000001</v>
      </c>
      <c r="N10" s="51">
        <f>12.143*POWER(B10,1.111)</f>
        <v>731.50053043431353</v>
      </c>
      <c r="O10" s="41">
        <f t="shared" si="1"/>
        <v>1548.4580304343135</v>
      </c>
      <c r="P10" s="58">
        <f t="shared" si="2"/>
        <v>2838.839722462908</v>
      </c>
    </row>
    <row r="11" spans="1:16" x14ac:dyDescent="0.25">
      <c r="A11" s="112" t="s">
        <v>175</v>
      </c>
      <c r="B11" s="6">
        <v>40</v>
      </c>
      <c r="C11" s="6">
        <v>10</v>
      </c>
      <c r="D11" s="50">
        <f>IF(B11&gt;22.5,1,0)</f>
        <v>1</v>
      </c>
      <c r="E11" s="51">
        <f>0.0676*POWER(B11,2)+0.0182*POWER(B11,2)*C11</f>
        <v>399.36</v>
      </c>
      <c r="F11" s="51"/>
      <c r="G11" s="51">
        <f>(0.83*POWER((B11-22.5),2)-0.0248*POWER((B11-22.5),2)*C11)*D11</f>
        <v>178.23750000000001</v>
      </c>
      <c r="H11" s="51">
        <f>0.0792*POWER(B11,2)</f>
        <v>126.72000000000001</v>
      </c>
      <c r="I11" s="51">
        <f>0.093*POWER(B11,2)-0.00226*POWER(B11,2)*C11</f>
        <v>112.64000000000001</v>
      </c>
      <c r="J11" s="51"/>
      <c r="K11" s="51"/>
      <c r="L11" s="51"/>
      <c r="M11" s="51">
        <f t="shared" si="0"/>
        <v>816.9575000000001</v>
      </c>
      <c r="N11" s="51">
        <f>0.106*POWER(B11,2)</f>
        <v>169.6</v>
      </c>
      <c r="O11" s="41">
        <f t="shared" si="1"/>
        <v>986.55750000000012</v>
      </c>
      <c r="P11" s="58">
        <f t="shared" si="2"/>
        <v>1808.6887500000003</v>
      </c>
    </row>
    <row r="12" spans="1:16" s="4" customFormat="1" x14ac:dyDescent="0.25">
      <c r="A12" s="112" t="s">
        <v>176</v>
      </c>
      <c r="B12" s="6">
        <v>40</v>
      </c>
      <c r="C12" s="6">
        <v>10</v>
      </c>
      <c r="D12" s="50">
        <f>IF(B12&gt;12.5,1,0)</f>
        <v>1</v>
      </c>
      <c r="E12" s="51">
        <f>0.0296*POWER(B12,2)*C12</f>
        <v>473.6</v>
      </c>
      <c r="F12" s="51"/>
      <c r="G12" s="51">
        <f>0.231*POWER((B12-12.5),2)*D12</f>
        <v>174.69374999999999</v>
      </c>
      <c r="H12" s="51">
        <f>0.0925*POWER(B12,2)</f>
        <v>148</v>
      </c>
      <c r="I12" s="51">
        <f>2.005*B12</f>
        <v>80.199999999999989</v>
      </c>
      <c r="J12" s="51"/>
      <c r="K12" s="51"/>
      <c r="L12" s="51"/>
      <c r="M12" s="51">
        <f t="shared" si="0"/>
        <v>876.49375000000009</v>
      </c>
      <c r="N12" s="51">
        <f>0.359*POWER(B12,2)</f>
        <v>574.4</v>
      </c>
      <c r="O12" s="41">
        <f t="shared" si="1"/>
        <v>1450.8937500000002</v>
      </c>
      <c r="P12" s="58">
        <f t="shared" si="2"/>
        <v>2659.9718750000006</v>
      </c>
    </row>
    <row r="13" spans="1:16" x14ac:dyDescent="0.25">
      <c r="A13" s="112" t="s">
        <v>107</v>
      </c>
      <c r="B13" s="6">
        <v>40</v>
      </c>
      <c r="C13" s="6">
        <v>10</v>
      </c>
      <c r="D13" s="50">
        <f>IF(B13&gt;22.5,1,0)</f>
        <v>1</v>
      </c>
      <c r="E13" s="51">
        <f>0.0132*POWER(B13,2)*C13+0.217*B13*C13</f>
        <v>298</v>
      </c>
      <c r="F13" s="51"/>
      <c r="G13" s="51">
        <f>0.107*POWER((B13-22.5),2)*D13</f>
        <v>32.768749999999997</v>
      </c>
      <c r="H13" s="51">
        <f>0.00792*POWER(B13,2)*C13</f>
        <v>126.72</v>
      </c>
      <c r="I13" s="51">
        <f>0.273*B13*C13</f>
        <v>109.20000000000002</v>
      </c>
      <c r="J13" s="51"/>
      <c r="K13" s="51"/>
      <c r="L13" s="51"/>
      <c r="M13" s="51">
        <f t="shared" si="0"/>
        <v>566.68875000000003</v>
      </c>
      <c r="N13" s="51">
        <f>0.0767*POWER(B13,2)</f>
        <v>122.72000000000001</v>
      </c>
      <c r="O13" s="41">
        <f t="shared" si="1"/>
        <v>689.40875000000005</v>
      </c>
      <c r="P13" s="58">
        <f t="shared" si="2"/>
        <v>1263.9160416666666</v>
      </c>
    </row>
    <row r="14" spans="1:16" s="4" customFormat="1" x14ac:dyDescent="0.25">
      <c r="A14" s="52" t="s">
        <v>177</v>
      </c>
      <c r="B14" s="6">
        <v>40</v>
      </c>
      <c r="C14" s="6">
        <v>10</v>
      </c>
      <c r="D14" s="50"/>
      <c r="E14" s="51">
        <f>0.0114*POWER(B14,2)*C14</f>
        <v>182.40000000000003</v>
      </c>
      <c r="F14" s="51"/>
      <c r="G14" s="51">
        <f>0.0108*POWER(B14,2)*C14</f>
        <v>172.8</v>
      </c>
      <c r="H14" s="51">
        <f>1.672*B14</f>
        <v>66.88</v>
      </c>
      <c r="I14" s="51">
        <f>0.0354*POWER(B14,2)+1.187*C14</f>
        <v>68.510000000000005</v>
      </c>
      <c r="J14" s="51"/>
      <c r="K14" s="51"/>
      <c r="L14" s="51"/>
      <c r="M14" s="51">
        <f t="shared" si="0"/>
        <v>490.59000000000003</v>
      </c>
      <c r="N14" s="51">
        <f>0.147*POWER(B14,2)</f>
        <v>235.2</v>
      </c>
      <c r="O14" s="41">
        <f t="shared" si="1"/>
        <v>725.79</v>
      </c>
      <c r="P14" s="58">
        <f t="shared" si="2"/>
        <v>1330.615</v>
      </c>
    </row>
    <row r="15" spans="1:16" s="4" customFormat="1" x14ac:dyDescent="0.25">
      <c r="A15" s="112" t="s">
        <v>42</v>
      </c>
      <c r="B15" s="6">
        <v>40</v>
      </c>
      <c r="C15" s="6">
        <v>10</v>
      </c>
      <c r="D15" s="50">
        <f>IF(B15&gt;32.5,1,0)</f>
        <v>1</v>
      </c>
      <c r="E15" s="51">
        <f>0.0249*POWER(POWER(B15,2.115)*C15,0.975)</f>
        <v>472.98493328873974</v>
      </c>
      <c r="F15" s="51"/>
      <c r="G15" s="51">
        <f>(0.634*POWER((B15-32.5),2))*D15</f>
        <v>35.662500000000001</v>
      </c>
      <c r="H15" s="51">
        <f>0.00162*POWER(B15,2)*C15</f>
        <v>25.919999999999995</v>
      </c>
      <c r="I15" s="51"/>
      <c r="J15" s="51"/>
      <c r="K15" s="51"/>
      <c r="L15" s="51"/>
      <c r="M15" s="51"/>
      <c r="N15" s="51">
        <f>0.155*POWER(B15,2)</f>
        <v>248</v>
      </c>
      <c r="O15" s="41"/>
      <c r="P15" s="58"/>
    </row>
    <row r="16" spans="1:16" x14ac:dyDescent="0.25">
      <c r="A16" s="52" t="s">
        <v>43</v>
      </c>
      <c r="B16" s="6">
        <v>40</v>
      </c>
      <c r="C16" s="6">
        <v>10</v>
      </c>
      <c r="D16" s="50">
        <f>IF(B16&gt;27.5,1,0)</f>
        <v>1</v>
      </c>
      <c r="E16" s="51">
        <f>0.0139*POWER(B16,2)*C16</f>
        <v>222.39999999999998</v>
      </c>
      <c r="F16" s="51"/>
      <c r="G16" s="51">
        <f>3.926*(B16-27.5)*D16</f>
        <v>49.075000000000003</v>
      </c>
      <c r="H16" s="51">
        <f>4.257+0.00506*POWER(B16,2)*C16-0.0722*B16*C16</f>
        <v>56.337000000000018</v>
      </c>
      <c r="I16" s="51">
        <f>6.197+0.00932*POWER(C16,2)*D16-0.0686*C16*D16</f>
        <v>6.4430000000000005</v>
      </c>
      <c r="J16" s="51"/>
      <c r="K16" s="51"/>
      <c r="L16" s="51"/>
      <c r="M16" s="51">
        <f t="shared" si="0"/>
        <v>334.255</v>
      </c>
      <c r="N16" s="51">
        <f>0.0785*POWER(B16,2)</f>
        <v>125.6</v>
      </c>
      <c r="O16" s="41">
        <f t="shared" si="1"/>
        <v>459.85500000000002</v>
      </c>
      <c r="P16" s="58">
        <f t="shared" si="2"/>
        <v>843.06750000000011</v>
      </c>
    </row>
    <row r="17" spans="1:16" x14ac:dyDescent="0.25">
      <c r="A17" s="112" t="s">
        <v>44</v>
      </c>
      <c r="B17" s="6">
        <v>40</v>
      </c>
      <c r="C17" s="6">
        <v>10</v>
      </c>
      <c r="D17" s="50">
        <f>IF(B17&gt;32.5,1,0)</f>
        <v>1</v>
      </c>
      <c r="E17" s="51">
        <f>0.0403*POWER(B17,1.838)*POWER(C17,0.945)</f>
        <v>312.52971089192505</v>
      </c>
      <c r="F17" s="51"/>
      <c r="G17" s="51">
        <f>0.228*POWER((B17-32.5),2)*D17</f>
        <v>12.825000000000001</v>
      </c>
      <c r="H17" s="51">
        <f>0.0521*POWER(B17,2)</f>
        <v>83.36</v>
      </c>
      <c r="I17" s="51">
        <f>0.072*POWER(B17,2)</f>
        <v>115.19999999999999</v>
      </c>
      <c r="J17" s="51"/>
      <c r="K17" s="51"/>
      <c r="L17" s="51"/>
      <c r="M17" s="51">
        <f t="shared" si="0"/>
        <v>523.9147108919251</v>
      </c>
      <c r="N17" s="51">
        <f>0.0189*POWER(B17,2.445)</f>
        <v>156.1343584045832</v>
      </c>
      <c r="O17" s="41">
        <f t="shared" si="1"/>
        <v>680.04906929650826</v>
      </c>
      <c r="P17" s="58">
        <f t="shared" si="2"/>
        <v>1246.7566270435984</v>
      </c>
    </row>
    <row r="18" spans="1:16" x14ac:dyDescent="0.25">
      <c r="A18" s="112" t="s">
        <v>109</v>
      </c>
      <c r="B18" s="6">
        <v>40</v>
      </c>
      <c r="C18" s="6">
        <v>10</v>
      </c>
      <c r="D18" s="50"/>
      <c r="E18" s="51">
        <f>0.0278*POWER(B18,2.115)*POWER(C18,0.618)</f>
        <v>282.09908504618613</v>
      </c>
      <c r="F18" s="51"/>
      <c r="G18" s="51">
        <f>0.000381*POWER(B18,3.141)</f>
        <v>41.019976614097203</v>
      </c>
      <c r="H18" s="51"/>
      <c r="I18" s="51">
        <f>0.0129*POWER(B18,2.32)</f>
        <v>67.19994075655427</v>
      </c>
      <c r="J18" s="51"/>
      <c r="K18" s="51"/>
      <c r="L18" s="51"/>
      <c r="M18" s="51">
        <f t="shared" si="0"/>
        <v>390.31900241683763</v>
      </c>
      <c r="N18" s="51">
        <f>0.00444*POWER(B18,2.804)</f>
        <v>137.8983868549893</v>
      </c>
      <c r="O18" s="41">
        <f t="shared" si="1"/>
        <v>528.21738927182696</v>
      </c>
      <c r="P18" s="58">
        <f t="shared" si="2"/>
        <v>968.39854699834939</v>
      </c>
    </row>
    <row r="19" spans="1:16" x14ac:dyDescent="0.25">
      <c r="A19" s="52" t="s">
        <v>178</v>
      </c>
      <c r="B19" s="6">
        <v>40</v>
      </c>
      <c r="C19" s="6">
        <v>10</v>
      </c>
      <c r="D19" s="50"/>
      <c r="E19" s="51">
        <f>0.3882+0.0115*POWER(B19,2)*C19</f>
        <v>184.38820000000001</v>
      </c>
      <c r="F19" s="51">
        <f>0.0369*POWER(B19,2.0983)*POWER((3.1416*POWER(B19/2,2)),-0.0551)</f>
        <v>57.261448058323367</v>
      </c>
      <c r="G19" s="51">
        <f>3.2019-0.0148*POWER(B19,2)-0.4228*C19+0.0028*POWER(B19,2)*C19</f>
        <v>20.093899999999998</v>
      </c>
      <c r="H19" s="51"/>
      <c r="I19" s="51">
        <f>0.0978*POWER(B19,2.2881)*POWER(C19,-0.9648)+0.0271*POWER(B19,2.5098)*POWER(C19,-0.6949)</f>
        <v>106.51579315721219</v>
      </c>
      <c r="J19" s="51"/>
      <c r="K19" s="51"/>
      <c r="L19" s="51"/>
      <c r="M19" s="51">
        <f t="shared" si="0"/>
        <v>368.25934121553553</v>
      </c>
      <c r="N19" s="51">
        <f>0.0019*POWER(B19,2.1537)</f>
        <v>5.3593263569746066</v>
      </c>
      <c r="O19" s="41">
        <f t="shared" si="1"/>
        <v>373.61866757251016</v>
      </c>
      <c r="P19" s="58">
        <f t="shared" si="2"/>
        <v>684.96755721626869</v>
      </c>
    </row>
    <row r="20" spans="1:16" x14ac:dyDescent="0.25">
      <c r="A20" s="112" t="s">
        <v>46</v>
      </c>
      <c r="B20" s="6">
        <v>40</v>
      </c>
      <c r="C20" s="6">
        <v>10</v>
      </c>
      <c r="D20" s="50">
        <f>IF(B20&gt;22.5,1,0)</f>
        <v>1</v>
      </c>
      <c r="E20" s="51">
        <f>0.0224*POWER(B20,1.923)*POWER(C20,1.0193)</f>
        <v>282.03913994231584</v>
      </c>
      <c r="F20" s="51"/>
      <c r="G20" s="51">
        <f>0.247*POWER((B20-22.5),2)*D20</f>
        <v>75.643749999999997</v>
      </c>
      <c r="H20" s="51">
        <f>0.0525*POWER(B20,2)</f>
        <v>84</v>
      </c>
      <c r="I20" s="51">
        <f>21.927+0.0707*POWER(B20,2)-2.827*C20</f>
        <v>106.777</v>
      </c>
      <c r="J20" s="51"/>
      <c r="K20" s="51"/>
      <c r="L20" s="51"/>
      <c r="M20" s="51">
        <f t="shared" si="0"/>
        <v>548.45988994231584</v>
      </c>
      <c r="N20" s="51">
        <f>0.117*POWER(B20,2)</f>
        <v>187.20000000000002</v>
      </c>
      <c r="O20" s="41">
        <f t="shared" si="1"/>
        <v>735.65988994231589</v>
      </c>
      <c r="P20" s="58">
        <f t="shared" si="2"/>
        <v>1348.7097982275791</v>
      </c>
    </row>
    <row r="21" spans="1:16" x14ac:dyDescent="0.25">
      <c r="A21" s="52" t="s">
        <v>47</v>
      </c>
      <c r="B21" s="6">
        <v>40</v>
      </c>
      <c r="C21" s="6">
        <v>10</v>
      </c>
      <c r="D21" s="50"/>
      <c r="E21" s="51">
        <f>0.0123*POWER(B21,1.6042)*POWER(C21,1.4131)</f>
        <v>118.31225978163843</v>
      </c>
      <c r="F21" s="51">
        <f>0.0036*POWER(B21,2.6564)</f>
        <v>64.86563317404476</v>
      </c>
      <c r="G21" s="51">
        <f>1.937699+0.001065*POWER(B21,2)*C21</f>
        <v>18.977698999999998</v>
      </c>
      <c r="H21" s="51"/>
      <c r="I21" s="51">
        <f>0.0363*POWER(B21,2.6091)*POWER(C21,-0.9417)+0.0423*POWER(B21,1.7141)</f>
        <v>86.400178333400092</v>
      </c>
      <c r="J21" s="51"/>
      <c r="K21" s="51"/>
      <c r="L21" s="51"/>
      <c r="M21" s="51">
        <f t="shared" si="0"/>
        <v>288.55577028908328</v>
      </c>
      <c r="N21" s="51">
        <f>0.0078*POWER(B21,1.9606)</f>
        <v>10.791788409198292</v>
      </c>
      <c r="O21" s="41">
        <f t="shared" si="1"/>
        <v>299.3475586982816</v>
      </c>
      <c r="P21" s="58">
        <f t="shared" si="2"/>
        <v>548.80385761351624</v>
      </c>
    </row>
    <row r="22" spans="1:16" x14ac:dyDescent="0.25">
      <c r="A22" s="112" t="s">
        <v>48</v>
      </c>
      <c r="B22" s="6">
        <v>40</v>
      </c>
      <c r="C22" s="6">
        <v>10</v>
      </c>
      <c r="D22" s="50">
        <f>IF(B22&gt;37.5,1,0)</f>
        <v>1</v>
      </c>
      <c r="E22" s="51">
        <f>0.0154*POWER(B22,2)*C22</f>
        <v>246.4</v>
      </c>
      <c r="F22" s="51"/>
      <c r="G22" s="51">
        <f>(0.54*POWER((B22-37.5),2)-0.0119*POWER((B22-37.5),2)*C22)*D22</f>
        <v>2.6312499999999996</v>
      </c>
      <c r="H22" s="51">
        <f>0.0295*POWER(B22,2.742)*POWER(C22,-0.899)</f>
        <v>91.975151570470118</v>
      </c>
      <c r="I22" s="51">
        <f>0.53*POWER(B22,2.199)*POWER(C22,-1.153)</f>
        <v>124.22408042163688</v>
      </c>
      <c r="J22" s="51"/>
      <c r="K22" s="51"/>
      <c r="L22" s="51"/>
      <c r="M22" s="51">
        <f t="shared" si="0"/>
        <v>465.230481992107</v>
      </c>
      <c r="N22" s="51">
        <f>0.13*POWER(B22,2)</f>
        <v>208</v>
      </c>
      <c r="O22" s="41">
        <f t="shared" si="1"/>
        <v>673.230481992107</v>
      </c>
      <c r="P22" s="58">
        <f t="shared" si="2"/>
        <v>1234.2558836521962</v>
      </c>
    </row>
    <row r="23" spans="1:16" x14ac:dyDescent="0.25">
      <c r="A23" s="52" t="s">
        <v>49</v>
      </c>
      <c r="B23" s="6">
        <v>40</v>
      </c>
      <c r="C23" s="6">
        <v>10</v>
      </c>
      <c r="D23" s="50"/>
      <c r="E23" s="113">
        <f>0.0203*POWER(B23,2)*C23</f>
        <v>324.79999999999995</v>
      </c>
      <c r="F23" s="51"/>
      <c r="G23" s="51">
        <f>0.0379*POWER(B23,2)</f>
        <v>60.640000000000008</v>
      </c>
      <c r="H23" s="51"/>
      <c r="I23" s="51">
        <f>2.74*B23-2.64*C23</f>
        <v>83.2</v>
      </c>
      <c r="J23" s="51"/>
      <c r="K23" s="51"/>
      <c r="L23" s="51"/>
      <c r="M23" s="51">
        <f t="shared" si="0"/>
        <v>468.63999999999993</v>
      </c>
      <c r="N23" s="51">
        <f>0.193*POWER(B23,2)</f>
        <v>308.8</v>
      </c>
      <c r="O23" s="41">
        <f t="shared" si="1"/>
        <v>777.43999999999994</v>
      </c>
      <c r="P23" s="58">
        <f t="shared" si="2"/>
        <v>1425.3066666666666</v>
      </c>
    </row>
    <row r="24" spans="1:16" x14ac:dyDescent="0.25">
      <c r="A24" s="112" t="s">
        <v>179</v>
      </c>
      <c r="B24" s="6">
        <v>40</v>
      </c>
      <c r="C24" s="6">
        <v>10</v>
      </c>
      <c r="D24" s="50">
        <f>IF(B24&gt;22.5,1,0)</f>
        <v>1</v>
      </c>
      <c r="E24" s="51">
        <f>0.013*POWER(B24,2)*C24</f>
        <v>208</v>
      </c>
      <c r="F24" s="51"/>
      <c r="G24" s="51">
        <f>(0.538*POWER((B24-22.5),2)-0.013*POWER((B24-22.5),2)*C24)*D24</f>
        <v>124.95000000000002</v>
      </c>
      <c r="H24" s="51">
        <f>0.0385*POWER(B24,2)</f>
        <v>61.6</v>
      </c>
      <c r="I24" s="51">
        <f>0.0774*POWER(B24,2)-0.00198*POWER(B24,2)*C24</f>
        <v>92.16</v>
      </c>
      <c r="J24" s="51"/>
      <c r="K24" s="51"/>
      <c r="L24" s="51"/>
      <c r="M24" s="51">
        <f t="shared" si="0"/>
        <v>486.71000000000004</v>
      </c>
      <c r="N24" s="51">
        <f>0.122*POWER(B24,2)</f>
        <v>195.2</v>
      </c>
      <c r="O24" s="41">
        <f t="shared" si="1"/>
        <v>681.91000000000008</v>
      </c>
      <c r="P24" s="58">
        <f t="shared" si="2"/>
        <v>1250.1683333333335</v>
      </c>
    </row>
    <row r="25" spans="1:16" x14ac:dyDescent="0.25">
      <c r="A25" s="112" t="s">
        <v>180</v>
      </c>
      <c r="B25" s="6">
        <v>40</v>
      </c>
      <c r="C25" s="6">
        <v>10</v>
      </c>
      <c r="D25" s="50"/>
      <c r="E25" s="51">
        <f>0.0126*POWER(B25,2)*C25</f>
        <v>201.6</v>
      </c>
      <c r="F25" s="51"/>
      <c r="G25" s="51">
        <f>0.103*POWER(B25,2)</f>
        <v>164.79999999999998</v>
      </c>
      <c r="H25" s="51">
        <f>0.167*B25*C25</f>
        <v>66.800000000000011</v>
      </c>
      <c r="I25" s="51"/>
      <c r="J25" s="51"/>
      <c r="K25" s="51"/>
      <c r="L25" s="51"/>
      <c r="M25" s="51">
        <f t="shared" si="0"/>
        <v>433.2</v>
      </c>
      <c r="N25" s="51">
        <f>0.135*POWER(B25,2)</f>
        <v>216</v>
      </c>
      <c r="O25" s="41">
        <f t="shared" si="1"/>
        <v>649.20000000000005</v>
      </c>
      <c r="P25" s="58">
        <f t="shared" si="2"/>
        <v>1190.2</v>
      </c>
    </row>
    <row r="26" spans="1:16" x14ac:dyDescent="0.25">
      <c r="A26" s="112" t="s">
        <v>57</v>
      </c>
      <c r="B26" s="6">
        <v>40</v>
      </c>
      <c r="C26" s="6">
        <v>10</v>
      </c>
      <c r="D26" s="50"/>
      <c r="E26" s="51">
        <f>0.154*POWER(B26,2)</f>
        <v>246.4</v>
      </c>
      <c r="F26" s="51"/>
      <c r="G26" s="51">
        <f>0.0861*POWER(B26,2)</f>
        <v>137.76</v>
      </c>
      <c r="H26" s="51">
        <f>0.127*POWER(B26,2)-0.00598*POWER(B26,2)*C26</f>
        <v>107.52</v>
      </c>
      <c r="I26" s="51">
        <f>0.0726*POWER(B26,2)-0.00275*POWER(B26,2)*C26</f>
        <v>72.16</v>
      </c>
      <c r="J26" s="51"/>
      <c r="K26" s="51"/>
      <c r="L26" s="51"/>
      <c r="M26" s="51">
        <f t="shared" si="0"/>
        <v>563.83999999999992</v>
      </c>
      <c r="N26" s="51">
        <f>0.169*POWER(B26,2)</f>
        <v>270.40000000000003</v>
      </c>
      <c r="O26" s="41">
        <f t="shared" si="1"/>
        <v>834.24</v>
      </c>
      <c r="P26" s="58">
        <f t="shared" si="2"/>
        <v>1529.4399999999998</v>
      </c>
    </row>
    <row r="27" spans="1:16" x14ac:dyDescent="0.25">
      <c r="A27" s="112" t="s">
        <v>58</v>
      </c>
      <c r="B27" s="6">
        <v>40</v>
      </c>
      <c r="C27" s="6">
        <v>10</v>
      </c>
      <c r="D27" s="50">
        <f>IF(B27&gt;12.5,1,0)</f>
        <v>1</v>
      </c>
      <c r="E27" s="51">
        <f>0.143*POWER(B27,2)</f>
        <v>228.79999999999998</v>
      </c>
      <c r="F27" s="51"/>
      <c r="G27" s="51">
        <f>(0.0684*POWER((B27-12.5),2)*C27)*D27</f>
        <v>517.27499999999998</v>
      </c>
      <c r="H27" s="51">
        <f>0.0898*POWER(B27,2)</f>
        <v>143.68</v>
      </c>
      <c r="I27" s="51">
        <f>0.0823*POWER(B27,2)</f>
        <v>131.68</v>
      </c>
      <c r="J27" s="51"/>
      <c r="K27" s="51"/>
      <c r="L27" s="51"/>
      <c r="M27" s="51">
        <f t="shared" si="0"/>
        <v>1021.4349999999999</v>
      </c>
      <c r="N27" s="51">
        <f>0.254*POWER(B27,2)</f>
        <v>406.4</v>
      </c>
      <c r="O27" s="41">
        <f t="shared" si="1"/>
        <v>1427.835</v>
      </c>
      <c r="P27" s="58">
        <f t="shared" si="2"/>
        <v>2617.6975000000002</v>
      </c>
    </row>
    <row r="28" spans="1:16" x14ac:dyDescent="0.25">
      <c r="A28" s="112" t="s">
        <v>61</v>
      </c>
      <c r="B28" s="6">
        <v>40</v>
      </c>
      <c r="C28" s="6">
        <v>10</v>
      </c>
      <c r="D28" s="50"/>
      <c r="E28" s="51">
        <f>0.0261*POWER(B28,2)*C28</f>
        <v>417.6</v>
      </c>
      <c r="F28" s="51"/>
      <c r="G28" s="51"/>
      <c r="H28" s="51">
        <f>-0.026*POWER(B28,2)+0.536*C28+0.00538*POWER(B28,2)*C28</f>
        <v>49.840000000000011</v>
      </c>
      <c r="I28" s="51">
        <f>0.898*B28-0.445*C28</f>
        <v>31.470000000000002</v>
      </c>
      <c r="J28" s="51"/>
      <c r="K28" s="51"/>
      <c r="L28" s="51"/>
      <c r="M28" s="51">
        <f t="shared" si="0"/>
        <v>498.91000000000008</v>
      </c>
      <c r="N28" s="51">
        <f>0.143*POWER(B28,2)</f>
        <v>228.79999999999998</v>
      </c>
      <c r="O28" s="41">
        <f t="shared" si="1"/>
        <v>727.71</v>
      </c>
      <c r="P28" s="58">
        <f t="shared" si="2"/>
        <v>1334.135</v>
      </c>
    </row>
    <row r="29" spans="1:16" x14ac:dyDescent="0.25">
      <c r="A29" s="52" t="s">
        <v>62</v>
      </c>
      <c r="B29" s="6">
        <v>40</v>
      </c>
      <c r="C29" s="6">
        <v>10</v>
      </c>
      <c r="D29" s="50"/>
      <c r="E29" s="51">
        <f>-5.714+0.018*POWER(B29,2)*C29</f>
        <v>282.286</v>
      </c>
      <c r="F29" s="51">
        <f>-1.5+0.032*POWER(B29,2)+0.001*POWER(B29,2)*C29</f>
        <v>65.7</v>
      </c>
      <c r="G29" s="51">
        <f>0.000000003427*POWER((B29*B29*C29),2.31)</f>
        <v>17.637265979966916</v>
      </c>
      <c r="H29" s="51">
        <f>4.268+0.003*POWER(B29,2)*C29</f>
        <v>52.268000000000001</v>
      </c>
      <c r="I29" s="51">
        <f>0.039*POWER(B29,1.784)</f>
        <v>28.128050399345646</v>
      </c>
      <c r="J29" s="51">
        <f>0.02*POWER((B29*B29*C29),0.737)</f>
        <v>25.08802205999875</v>
      </c>
      <c r="K29" s="51"/>
      <c r="L29" s="51"/>
      <c r="M29" s="51">
        <f t="shared" si="0"/>
        <v>471.10733843931126</v>
      </c>
      <c r="N29" s="51">
        <f>0.0851*POWER(B29,2.151)</f>
        <v>237.66246728826951</v>
      </c>
      <c r="O29" s="41">
        <f t="shared" si="1"/>
        <v>708.76980572758077</v>
      </c>
      <c r="P29" s="58">
        <f t="shared" si="2"/>
        <v>1299.4113105005647</v>
      </c>
    </row>
    <row r="30" spans="1:16" x14ac:dyDescent="0.25">
      <c r="A30" s="112" t="s">
        <v>106</v>
      </c>
      <c r="B30" s="6">
        <v>40</v>
      </c>
      <c r="C30" s="6">
        <v>10</v>
      </c>
      <c r="D30" s="50"/>
      <c r="E30" s="51">
        <f>0.00525*POWER(B30,2)*C30+0.278*B30*C30</f>
        <v>195.20000000000002</v>
      </c>
      <c r="F30" s="51"/>
      <c r="G30" s="51">
        <f>0.0135*POWER(B30,2)*C30</f>
        <v>216</v>
      </c>
      <c r="H30" s="51">
        <f>0.127*B30*C30</f>
        <v>50.8</v>
      </c>
      <c r="I30" s="51">
        <f>0.0463*B30*C30</f>
        <v>18.52</v>
      </c>
      <c r="J30" s="51"/>
      <c r="K30" s="51"/>
      <c r="L30" s="51"/>
      <c r="M30" s="51">
        <f t="shared" si="0"/>
        <v>480.52000000000004</v>
      </c>
      <c r="N30" s="51">
        <f>0.0829*POWER(B30,2)</f>
        <v>132.64000000000001</v>
      </c>
      <c r="O30" s="41">
        <f t="shared" si="1"/>
        <v>613.16000000000008</v>
      </c>
      <c r="P30" s="58">
        <f t="shared" si="2"/>
        <v>1124.1266666666668</v>
      </c>
    </row>
    <row r="32" spans="1:16" x14ac:dyDescent="0.25">
      <c r="A32" s="54" t="s">
        <v>160</v>
      </c>
      <c r="B32" s="55" t="s">
        <v>181</v>
      </c>
      <c r="F32" s="53"/>
    </row>
    <row r="33" spans="1:16" x14ac:dyDescent="0.25">
      <c r="A33" s="54" t="s">
        <v>161</v>
      </c>
      <c r="B33" s="56"/>
      <c r="F33" s="53"/>
    </row>
    <row r="34" spans="1:16" x14ac:dyDescent="0.25">
      <c r="A34" s="54" t="s">
        <v>162</v>
      </c>
      <c r="B34" s="55" t="s">
        <v>183</v>
      </c>
      <c r="F34" s="53"/>
    </row>
    <row r="35" spans="1:16" x14ac:dyDescent="0.25">
      <c r="A35" s="54" t="s">
        <v>163</v>
      </c>
      <c r="B35" s="55" t="s">
        <v>184</v>
      </c>
      <c r="F35" s="53"/>
    </row>
    <row r="36" spans="1:16" x14ac:dyDescent="0.25">
      <c r="A36" s="54" t="s">
        <v>226</v>
      </c>
      <c r="B36" s="55" t="s">
        <v>185</v>
      </c>
      <c r="F36" s="53"/>
    </row>
    <row r="37" spans="1:16" x14ac:dyDescent="0.25">
      <c r="A37" s="54" t="s">
        <v>165</v>
      </c>
      <c r="F37" s="53"/>
    </row>
    <row r="38" spans="1:16" x14ac:dyDescent="0.25">
      <c r="A38" s="54" t="s">
        <v>166</v>
      </c>
      <c r="F38" s="53"/>
    </row>
    <row r="39" spans="1:16" x14ac:dyDescent="0.25">
      <c r="A39" s="54" t="s">
        <v>167</v>
      </c>
      <c r="F39" s="53"/>
    </row>
    <row r="40" spans="1:16" x14ac:dyDescent="0.25">
      <c r="A40" s="54" t="s">
        <v>169</v>
      </c>
      <c r="B40" s="55" t="s">
        <v>188</v>
      </c>
      <c r="F40" s="53"/>
    </row>
    <row r="42" spans="1:16" x14ac:dyDescent="0.25">
      <c r="A42" s="4"/>
    </row>
    <row r="43" spans="1:16" x14ac:dyDescent="0.25">
      <c r="A43" s="57" t="s">
        <v>227</v>
      </c>
    </row>
    <row r="44" spans="1:16" ht="15" customHeight="1" x14ac:dyDescent="0.25">
      <c r="A44" s="520" t="s">
        <v>228</v>
      </c>
      <c r="B44" s="520"/>
      <c r="C44" s="520"/>
      <c r="D44" s="520"/>
      <c r="E44" s="520"/>
      <c r="F44" s="520"/>
      <c r="G44" s="520"/>
      <c r="H44" s="520"/>
      <c r="I44" s="520"/>
      <c r="J44" s="520"/>
      <c r="K44" s="520"/>
      <c r="L44" s="520"/>
      <c r="M44" s="520"/>
      <c r="N44" s="520"/>
      <c r="O44" s="520"/>
      <c r="P44" s="520"/>
    </row>
    <row r="45" spans="1:16" x14ac:dyDescent="0.25">
      <c r="A45" s="111" t="s">
        <v>3</v>
      </c>
    </row>
    <row r="46" spans="1:16" x14ac:dyDescent="0.25">
      <c r="A46" s="111" t="s">
        <v>182</v>
      </c>
    </row>
    <row r="47" spans="1:16" ht="15" customHeight="1" x14ac:dyDescent="0.25">
      <c r="A47" s="111" t="s">
        <v>0</v>
      </c>
      <c r="C47" s="114"/>
      <c r="D47" s="114"/>
      <c r="E47" s="114"/>
      <c r="F47" s="114"/>
      <c r="G47" s="114"/>
      <c r="H47" s="114"/>
      <c r="I47" s="114"/>
      <c r="J47" s="114"/>
      <c r="K47" s="114"/>
      <c r="L47" s="114"/>
      <c r="M47" s="114"/>
      <c r="N47" s="114"/>
      <c r="O47" s="114"/>
      <c r="P47" s="114"/>
    </row>
    <row r="48" spans="1:16" x14ac:dyDescent="0.25">
      <c r="A48" s="111" t="s">
        <v>10</v>
      </c>
    </row>
    <row r="49" spans="1:4" x14ac:dyDescent="0.25">
      <c r="A49" s="111" t="s">
        <v>172</v>
      </c>
    </row>
    <row r="50" spans="1:4" x14ac:dyDescent="0.25">
      <c r="A50" s="111" t="s">
        <v>23</v>
      </c>
    </row>
    <row r="51" spans="1:4" x14ac:dyDescent="0.25">
      <c r="A51" s="111" t="s">
        <v>24</v>
      </c>
    </row>
    <row r="52" spans="1:4" x14ac:dyDescent="0.25">
      <c r="A52" s="111" t="s">
        <v>176</v>
      </c>
      <c r="D52" s="1"/>
    </row>
    <row r="53" spans="1:4" x14ac:dyDescent="0.25">
      <c r="A53" s="111" t="s">
        <v>107</v>
      </c>
    </row>
    <row r="54" spans="1:4" x14ac:dyDescent="0.25">
      <c r="A54" s="111" t="s">
        <v>186</v>
      </c>
    </row>
    <row r="55" spans="1:4" x14ac:dyDescent="0.25">
      <c r="A55" s="111" t="s">
        <v>42</v>
      </c>
    </row>
    <row r="56" spans="1:4" x14ac:dyDescent="0.25">
      <c r="A56" s="111" t="s">
        <v>43</v>
      </c>
    </row>
    <row r="57" spans="1:4" x14ac:dyDescent="0.25">
      <c r="A57" s="111" t="s">
        <v>44</v>
      </c>
    </row>
    <row r="58" spans="1:4" x14ac:dyDescent="0.25">
      <c r="A58" s="111" t="s">
        <v>109</v>
      </c>
    </row>
    <row r="59" spans="1:4" x14ac:dyDescent="0.25">
      <c r="A59" s="111" t="s">
        <v>46</v>
      </c>
    </row>
    <row r="60" spans="1:4" x14ac:dyDescent="0.25">
      <c r="A60" s="111" t="s">
        <v>48</v>
      </c>
    </row>
    <row r="61" spans="1:4" x14ac:dyDescent="0.25">
      <c r="A61" s="111" t="s">
        <v>49</v>
      </c>
    </row>
    <row r="62" spans="1:4" x14ac:dyDescent="0.25">
      <c r="A62" s="111" t="s">
        <v>187</v>
      </c>
    </row>
    <row r="63" spans="1:4" x14ac:dyDescent="0.25">
      <c r="A63" s="111" t="s">
        <v>180</v>
      </c>
    </row>
    <row r="64" spans="1:4" x14ac:dyDescent="0.25">
      <c r="A64" s="111" t="s">
        <v>57</v>
      </c>
    </row>
    <row r="65" spans="1:16" x14ac:dyDescent="0.25">
      <c r="A65" s="111" t="s">
        <v>58</v>
      </c>
    </row>
    <row r="66" spans="1:16" x14ac:dyDescent="0.25">
      <c r="A66" s="111" t="s">
        <v>61</v>
      </c>
    </row>
    <row r="67" spans="1:16" x14ac:dyDescent="0.25">
      <c r="A67" s="111" t="s">
        <v>106</v>
      </c>
    </row>
    <row r="69" spans="1:16" ht="15" customHeight="1" x14ac:dyDescent="0.25">
      <c r="A69" s="520" t="s">
        <v>230</v>
      </c>
      <c r="B69" s="520"/>
      <c r="C69" s="520"/>
      <c r="D69" s="520"/>
      <c r="E69" s="520"/>
      <c r="F69" s="520"/>
      <c r="G69" s="520"/>
      <c r="H69" s="520"/>
      <c r="I69" s="520"/>
      <c r="J69" s="520"/>
      <c r="K69" s="520"/>
      <c r="L69" s="520"/>
      <c r="M69" s="520"/>
      <c r="N69" s="520"/>
      <c r="O69" s="520"/>
      <c r="P69" s="520"/>
    </row>
    <row r="70" spans="1:16" x14ac:dyDescent="0.25">
      <c r="A70" s="520"/>
      <c r="B70" s="520"/>
      <c r="C70" s="520"/>
      <c r="D70" s="520"/>
      <c r="E70" s="520"/>
      <c r="F70" s="520"/>
      <c r="G70" s="520"/>
      <c r="H70" s="520"/>
      <c r="I70" s="520"/>
      <c r="J70" s="520"/>
      <c r="K70" s="520"/>
      <c r="L70" s="520"/>
      <c r="M70" s="520"/>
      <c r="N70" s="520"/>
      <c r="O70" s="520"/>
      <c r="P70" s="520"/>
    </row>
    <row r="71" spans="1:16" x14ac:dyDescent="0.25">
      <c r="A71" s="114"/>
      <c r="B71" s="114"/>
      <c r="C71" s="114"/>
      <c r="D71" s="114"/>
      <c r="E71" s="114"/>
      <c r="F71" s="114"/>
      <c r="G71" s="114"/>
      <c r="H71" s="114"/>
      <c r="I71" s="114"/>
      <c r="J71" s="114"/>
      <c r="K71" s="114"/>
      <c r="L71" s="114"/>
      <c r="M71" s="114"/>
      <c r="N71" s="114"/>
      <c r="O71" s="114"/>
      <c r="P71" s="114"/>
    </row>
    <row r="72" spans="1:16" x14ac:dyDescent="0.25">
      <c r="A72" s="111" t="s">
        <v>171</v>
      </c>
    </row>
    <row r="74" spans="1:16" ht="15" customHeight="1" x14ac:dyDescent="0.25">
      <c r="A74" s="520" t="s">
        <v>229</v>
      </c>
      <c r="B74" s="520"/>
      <c r="C74" s="520"/>
      <c r="D74" s="520"/>
      <c r="E74" s="520"/>
      <c r="F74" s="520"/>
      <c r="G74" s="520"/>
      <c r="H74" s="520"/>
      <c r="I74" s="520"/>
      <c r="J74" s="520"/>
      <c r="K74" s="520"/>
      <c r="L74" s="520"/>
      <c r="M74" s="520"/>
      <c r="N74" s="520"/>
      <c r="O74" s="520"/>
      <c r="P74" s="520"/>
    </row>
    <row r="75" spans="1:16" x14ac:dyDescent="0.25">
      <c r="A75" s="520"/>
      <c r="B75" s="520"/>
      <c r="C75" s="520"/>
      <c r="D75" s="520"/>
      <c r="E75" s="520"/>
      <c r="F75" s="520"/>
      <c r="G75" s="520"/>
      <c r="H75" s="520"/>
      <c r="I75" s="520"/>
      <c r="J75" s="520"/>
      <c r="K75" s="520"/>
      <c r="L75" s="520"/>
      <c r="M75" s="520"/>
      <c r="N75" s="520"/>
      <c r="O75" s="520"/>
      <c r="P75" s="520"/>
    </row>
    <row r="77" spans="1:16" x14ac:dyDescent="0.25">
      <c r="A77" s="520" t="s">
        <v>232</v>
      </c>
      <c r="B77" s="520"/>
      <c r="C77" s="520"/>
      <c r="D77" s="520"/>
      <c r="E77" s="520"/>
      <c r="F77" s="520"/>
      <c r="G77" s="520"/>
      <c r="H77" s="520"/>
      <c r="I77" s="520"/>
      <c r="J77" s="520"/>
      <c r="K77" s="520"/>
      <c r="L77" s="520"/>
      <c r="M77" s="520"/>
      <c r="N77" s="520"/>
      <c r="O77" s="520"/>
      <c r="P77" s="520"/>
    </row>
    <row r="78" spans="1:16" x14ac:dyDescent="0.25">
      <c r="A78" s="520"/>
      <c r="B78" s="520"/>
      <c r="C78" s="520"/>
      <c r="D78" s="520"/>
      <c r="E78" s="520"/>
      <c r="F78" s="520"/>
      <c r="G78" s="520"/>
      <c r="H78" s="520"/>
      <c r="I78" s="520"/>
      <c r="J78" s="520"/>
      <c r="K78" s="520"/>
      <c r="L78" s="520"/>
      <c r="M78" s="520"/>
      <c r="N78" s="520"/>
      <c r="O78" s="520"/>
      <c r="P78" s="520"/>
    </row>
    <row r="79" spans="1:16" x14ac:dyDescent="0.25">
      <c r="A79" s="114"/>
      <c r="B79" s="114"/>
      <c r="C79" s="114"/>
      <c r="D79" s="114"/>
      <c r="E79" s="114"/>
      <c r="F79" s="114"/>
      <c r="G79" s="114"/>
      <c r="H79" s="114"/>
      <c r="I79" s="114"/>
      <c r="J79" s="114"/>
      <c r="K79" s="114"/>
      <c r="L79" s="114"/>
      <c r="M79" s="114"/>
      <c r="N79" s="114"/>
      <c r="O79" s="114"/>
      <c r="P79" s="114"/>
    </row>
    <row r="80" spans="1:16" x14ac:dyDescent="0.25">
      <c r="A80" s="111" t="s">
        <v>178</v>
      </c>
    </row>
    <row r="81" spans="1:16" x14ac:dyDescent="0.25">
      <c r="A81" s="111" t="s">
        <v>47</v>
      </c>
    </row>
    <row r="83" spans="1:16" x14ac:dyDescent="0.25">
      <c r="A83" s="520" t="s">
        <v>233</v>
      </c>
      <c r="B83" s="520"/>
      <c r="C83" s="520"/>
      <c r="D83" s="520"/>
      <c r="E83" s="520"/>
      <c r="F83" s="520"/>
      <c r="G83" s="520"/>
      <c r="H83" s="520"/>
      <c r="I83" s="520"/>
      <c r="J83" s="520"/>
      <c r="K83" s="520"/>
      <c r="L83" s="520"/>
      <c r="M83" s="520"/>
      <c r="N83" s="520"/>
      <c r="O83" s="520"/>
      <c r="P83" s="520"/>
    </row>
    <row r="84" spans="1:16" x14ac:dyDescent="0.25">
      <c r="A84" s="114"/>
      <c r="B84" s="114"/>
      <c r="C84" s="114"/>
      <c r="D84" s="114"/>
      <c r="E84" s="114"/>
      <c r="F84" s="114"/>
      <c r="G84" s="114"/>
      <c r="H84" s="114"/>
      <c r="I84" s="114"/>
      <c r="J84" s="114"/>
      <c r="K84" s="114"/>
      <c r="L84" s="114"/>
      <c r="M84" s="114"/>
      <c r="N84" s="114"/>
      <c r="O84" s="114"/>
      <c r="P84" s="114"/>
    </row>
    <row r="85" spans="1:16" x14ac:dyDescent="0.25">
      <c r="A85" s="111" t="s">
        <v>62</v>
      </c>
      <c r="B85" s="114"/>
      <c r="C85" s="114"/>
      <c r="D85" s="114"/>
      <c r="E85" s="114"/>
      <c r="F85" s="114"/>
      <c r="G85" s="114"/>
      <c r="H85" s="114"/>
      <c r="I85" s="114"/>
      <c r="J85" s="114"/>
      <c r="K85" s="114"/>
      <c r="L85" s="114"/>
      <c r="M85" s="114"/>
      <c r="N85" s="114"/>
      <c r="O85" s="114"/>
      <c r="P85" s="114"/>
    </row>
    <row r="87" spans="1:16" ht="15.75" customHeight="1" x14ac:dyDescent="0.25">
      <c r="A87" s="520" t="s">
        <v>235</v>
      </c>
      <c r="B87" s="520"/>
      <c r="C87" s="520"/>
      <c r="D87" s="520"/>
      <c r="E87" s="520"/>
      <c r="F87" s="520"/>
      <c r="G87" s="520"/>
      <c r="H87" s="520"/>
      <c r="I87" s="520"/>
      <c r="J87" s="520"/>
      <c r="K87" s="520"/>
      <c r="L87" s="520"/>
      <c r="M87" s="520"/>
      <c r="N87" s="520"/>
      <c r="O87" s="520"/>
      <c r="P87" s="520"/>
    </row>
    <row r="88" spans="1:16" ht="15" customHeight="1" x14ac:dyDescent="0.25">
      <c r="A88" s="520"/>
      <c r="B88" s="520"/>
      <c r="C88" s="520"/>
      <c r="D88" s="520"/>
      <c r="E88" s="520"/>
      <c r="F88" s="520"/>
      <c r="G88" s="520"/>
      <c r="H88" s="520"/>
      <c r="I88" s="520"/>
      <c r="J88" s="520"/>
      <c r="K88" s="520"/>
      <c r="L88" s="520"/>
      <c r="M88" s="520"/>
      <c r="N88" s="520"/>
      <c r="O88" s="520"/>
      <c r="P88" s="520"/>
    </row>
    <row r="89" spans="1:16" ht="15.75" x14ac:dyDescent="0.25">
      <c r="A89" s="115"/>
    </row>
    <row r="90" spans="1:16" ht="15" customHeight="1" x14ac:dyDescent="0.25">
      <c r="A90" s="520" t="s">
        <v>234</v>
      </c>
      <c r="B90" s="520"/>
      <c r="C90" s="520"/>
      <c r="D90" s="520"/>
      <c r="E90" s="520"/>
      <c r="F90" s="520"/>
      <c r="G90" s="520"/>
      <c r="H90" s="520"/>
      <c r="I90" s="520"/>
      <c r="J90" s="520"/>
      <c r="K90" s="520"/>
      <c r="L90" s="520"/>
      <c r="M90" s="520"/>
      <c r="N90" s="520"/>
      <c r="O90" s="520"/>
      <c r="P90" s="520"/>
    </row>
    <row r="91" spans="1:16" x14ac:dyDescent="0.25">
      <c r="A91" s="520"/>
      <c r="B91" s="520"/>
      <c r="C91" s="520"/>
      <c r="D91" s="520"/>
      <c r="E91" s="520"/>
      <c r="F91" s="520"/>
      <c r="G91" s="520"/>
      <c r="H91" s="520"/>
      <c r="I91" s="520"/>
      <c r="J91" s="520"/>
      <c r="K91" s="520"/>
      <c r="L91" s="520"/>
      <c r="M91" s="520"/>
      <c r="N91" s="520"/>
      <c r="O91" s="520"/>
      <c r="P91" s="520"/>
    </row>
    <row r="93" spans="1:16" x14ac:dyDescent="0.25">
      <c r="A93" s="111" t="s">
        <v>173</v>
      </c>
    </row>
    <row r="95" spans="1:16" x14ac:dyDescent="0.25">
      <c r="A95" s="521" t="s">
        <v>231</v>
      </c>
      <c r="B95" s="521"/>
      <c r="C95" s="521"/>
      <c r="D95" s="521"/>
      <c r="E95" s="521"/>
      <c r="F95" s="521"/>
      <c r="G95" s="521"/>
      <c r="H95" s="521"/>
      <c r="I95" s="521"/>
      <c r="J95" s="521"/>
      <c r="K95" s="521"/>
      <c r="L95" s="521"/>
      <c r="M95" s="521"/>
      <c r="N95" s="521"/>
      <c r="O95" s="521"/>
      <c r="P95" s="521"/>
    </row>
    <row r="96" spans="1:16" x14ac:dyDescent="0.25">
      <c r="A96" s="521"/>
      <c r="B96" s="521"/>
      <c r="C96" s="521"/>
      <c r="D96" s="521"/>
      <c r="E96" s="521"/>
      <c r="F96" s="521"/>
      <c r="G96" s="521"/>
      <c r="H96" s="521"/>
      <c r="I96" s="521"/>
      <c r="J96" s="521"/>
      <c r="K96" s="521"/>
      <c r="L96" s="521"/>
      <c r="M96" s="521"/>
      <c r="N96" s="521"/>
      <c r="O96" s="521"/>
      <c r="P96" s="521"/>
    </row>
  </sheetData>
  <mergeCells count="8">
    <mergeCell ref="A44:P44"/>
    <mergeCell ref="A69:P70"/>
    <mergeCell ref="A74:P75"/>
    <mergeCell ref="A95:P96"/>
    <mergeCell ref="A77:P78"/>
    <mergeCell ref="A83:P83"/>
    <mergeCell ref="A90:P91"/>
    <mergeCell ref="A87:P88"/>
  </mergeCells>
  <phoneticPr fontId="75" type="noConversion"/>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A78"/>
  <sheetViews>
    <sheetView workbookViewId="0">
      <selection activeCell="H95" activeCellId="1" sqref="I29 H95"/>
    </sheetView>
  </sheetViews>
  <sheetFormatPr baseColWidth="10" defaultRowHeight="15" x14ac:dyDescent="0.25"/>
  <cols>
    <col min="1" max="1" width="25.140625" bestFit="1" customWidth="1"/>
    <col min="2" max="2" width="5.85546875" style="122" bestFit="1" customWidth="1"/>
    <col min="3" max="3" width="6.5703125" bestFit="1" customWidth="1"/>
    <col min="4" max="4" width="5.5703125" bestFit="1" customWidth="1"/>
    <col min="5" max="5" width="9.5703125" bestFit="1" customWidth="1"/>
    <col min="6" max="6" width="2" bestFit="1" customWidth="1"/>
    <col min="7" max="7" width="12.28515625" bestFit="1" customWidth="1"/>
    <col min="8" max="8" width="7.7109375" bestFit="1" customWidth="1"/>
    <col min="9" max="9" width="8.5703125" bestFit="1" customWidth="1"/>
    <col min="10" max="10" width="9.7109375" bestFit="1" customWidth="1"/>
    <col min="11" max="11" width="10.85546875" bestFit="1" customWidth="1"/>
    <col min="12" max="12" width="7.42578125" bestFit="1" customWidth="1"/>
    <col min="13" max="13" width="7.7109375" bestFit="1" customWidth="1"/>
    <col min="14" max="14" width="8.5703125" bestFit="1" customWidth="1"/>
    <col min="15" max="15" width="10.42578125" customWidth="1"/>
    <col min="16" max="16" width="7.5703125" bestFit="1" customWidth="1"/>
    <col min="17" max="17" width="8.140625" bestFit="1" customWidth="1"/>
    <col min="18" max="18" width="11" style="24" customWidth="1"/>
    <col min="19" max="19" width="12.85546875" bestFit="1" customWidth="1"/>
  </cols>
  <sheetData>
    <row r="1" spans="1:27" x14ac:dyDescent="0.25">
      <c r="A1" s="522" t="s">
        <v>224</v>
      </c>
      <c r="B1" s="522"/>
      <c r="C1" s="522"/>
      <c r="D1" s="522"/>
      <c r="E1" s="522"/>
      <c r="F1" s="522" t="s">
        <v>239</v>
      </c>
      <c r="G1" s="522"/>
      <c r="H1" s="522"/>
      <c r="I1" s="522"/>
      <c r="J1" s="522"/>
      <c r="K1" s="522"/>
      <c r="L1" s="522"/>
      <c r="M1" s="522"/>
      <c r="N1" s="522"/>
      <c r="O1" s="522"/>
      <c r="P1" s="522"/>
      <c r="Q1" s="522"/>
      <c r="R1" s="523"/>
      <c r="S1" s="524" t="s">
        <v>240</v>
      </c>
    </row>
    <row r="2" spans="1:27" ht="27" x14ac:dyDescent="0.25">
      <c r="A2" s="120" t="s">
        <v>93</v>
      </c>
      <c r="B2" s="120" t="s">
        <v>238</v>
      </c>
      <c r="C2" s="46" t="s">
        <v>157</v>
      </c>
      <c r="D2" s="46" t="s">
        <v>158</v>
      </c>
      <c r="E2" s="49" t="s">
        <v>189</v>
      </c>
      <c r="F2" s="46" t="s">
        <v>159</v>
      </c>
      <c r="G2" s="47" t="s">
        <v>160</v>
      </c>
      <c r="H2" s="47" t="s">
        <v>161</v>
      </c>
      <c r="I2" s="47" t="s">
        <v>162</v>
      </c>
      <c r="J2" s="47" t="s">
        <v>163</v>
      </c>
      <c r="K2" s="47" t="s">
        <v>164</v>
      </c>
      <c r="L2" s="47" t="s">
        <v>165</v>
      </c>
      <c r="M2" s="47" t="s">
        <v>166</v>
      </c>
      <c r="N2" s="47" t="s">
        <v>167</v>
      </c>
      <c r="O2" s="48" t="s">
        <v>168</v>
      </c>
      <c r="P2" s="48" t="s">
        <v>169</v>
      </c>
      <c r="Q2" s="128" t="s">
        <v>170</v>
      </c>
      <c r="R2" s="129" t="s">
        <v>189</v>
      </c>
      <c r="S2" s="524"/>
    </row>
    <row r="3" spans="1:27" hidden="1" x14ac:dyDescent="0.25">
      <c r="A3" s="52" t="s">
        <v>3</v>
      </c>
      <c r="B3" s="121"/>
      <c r="C3" s="6"/>
      <c r="D3" s="6"/>
      <c r="E3" s="6"/>
      <c r="F3" s="50"/>
      <c r="G3" s="51">
        <f>0.0189*POWER(C3,2)*D3</f>
        <v>0</v>
      </c>
      <c r="H3" s="51"/>
      <c r="I3" s="51">
        <f>0.0584*POWER(C3,2)</f>
        <v>0</v>
      </c>
      <c r="J3" s="51"/>
      <c r="K3" s="51">
        <f>0.0371*POWER(C3,2)+0.968*D3</f>
        <v>0</v>
      </c>
      <c r="L3" s="51"/>
      <c r="M3" s="51"/>
      <c r="N3" s="51"/>
      <c r="O3" s="51">
        <f t="shared" ref="O3:O34" si="0">G3+H3+I3+J3+K3+L3+M3</f>
        <v>0</v>
      </c>
      <c r="P3" s="51">
        <f>0.101*POWER(C3,2)</f>
        <v>0</v>
      </c>
      <c r="Q3" s="41">
        <f t="shared" ref="Q3:Q34" si="1">O3+P3</f>
        <v>0</v>
      </c>
      <c r="R3" s="58" t="e">
        <f>#REF!*0.5*44/12</f>
        <v>#REF!</v>
      </c>
    </row>
    <row r="4" spans="1:27" hidden="1" x14ac:dyDescent="0.25">
      <c r="A4" s="52" t="s">
        <v>0</v>
      </c>
      <c r="B4" s="121"/>
      <c r="C4" s="6"/>
      <c r="D4" s="6"/>
      <c r="E4" s="6"/>
      <c r="F4" s="50"/>
      <c r="G4" s="51">
        <f>0.0191*POWER(C4,2)*D4</f>
        <v>0</v>
      </c>
      <c r="H4" s="51"/>
      <c r="I4" s="51">
        <f>0.0512*POWER(C4,2)</f>
        <v>0</v>
      </c>
      <c r="J4" s="51"/>
      <c r="K4" s="51">
        <f>0.0567*C4*D4</f>
        <v>0</v>
      </c>
      <c r="L4" s="51"/>
      <c r="M4" s="51"/>
      <c r="N4" s="51"/>
      <c r="O4" s="51">
        <f t="shared" si="0"/>
        <v>0</v>
      </c>
      <c r="P4" s="51">
        <f>0.214*POWER(C4,2)</f>
        <v>0</v>
      </c>
      <c r="Q4" s="41">
        <f t="shared" si="1"/>
        <v>0</v>
      </c>
      <c r="R4" s="58" t="e">
        <f>#REF!*0.5*44/12</f>
        <v>#REF!</v>
      </c>
    </row>
    <row r="5" spans="1:27" x14ac:dyDescent="0.25">
      <c r="A5" s="112" t="s">
        <v>171</v>
      </c>
      <c r="B5" s="126">
        <v>20</v>
      </c>
      <c r="C5" s="127">
        <f>'Alt_diám tablas producc'!C32</f>
        <v>8</v>
      </c>
      <c r="D5" s="127">
        <f>'Alt_diám tablas producc'!D32</f>
        <v>9.5</v>
      </c>
      <c r="E5" s="23">
        <f>'Alt_diám tablas producc'!E32</f>
        <v>4.3707006369426753E-2</v>
      </c>
      <c r="F5" s="50"/>
      <c r="G5" s="51">
        <f>-3.824+0.01709*POWER(C5,2)*D5</f>
        <v>6.5667200000000001</v>
      </c>
      <c r="H5" s="51">
        <f>0.00165*POWER(C5,2.392)*POWER(D5,0.761)</f>
        <v>1.3234966815701672</v>
      </c>
      <c r="I5" s="51">
        <f>0.04649*POWER(C5,2.183)</f>
        <v>4.3531635872348202</v>
      </c>
      <c r="J5" s="51"/>
      <c r="K5" s="51">
        <f>0.01246*POWER(C5,2.44)</f>
        <v>1.9909374258322017</v>
      </c>
      <c r="L5" s="51">
        <f>0.01908*POWER(C5,2)</f>
        <v>1.22112</v>
      </c>
      <c r="M5" s="51">
        <f>0.001016*POWER(C5,2)*D5</f>
        <v>0.61772799999999994</v>
      </c>
      <c r="N5" s="51"/>
      <c r="O5" s="51">
        <f t="shared" si="0"/>
        <v>16.07316569463719</v>
      </c>
      <c r="P5" s="51">
        <f>1.042*POWER(C5,1.254)</f>
        <v>14.136521650363839</v>
      </c>
      <c r="Q5" s="41">
        <f t="shared" si="1"/>
        <v>30.209687345001029</v>
      </c>
      <c r="R5" s="23">
        <f>(Q5*0.5*44/12)/1000</f>
        <v>5.5384426799168551E-2</v>
      </c>
      <c r="S5" s="130">
        <f>(E5-R5)/E5</f>
        <v>-0.26717502294804174</v>
      </c>
    </row>
    <row r="6" spans="1:27" x14ac:dyDescent="0.25">
      <c r="A6" s="112" t="s">
        <v>171</v>
      </c>
      <c r="B6" s="126">
        <v>25</v>
      </c>
      <c r="C6" s="127">
        <f>'Alt_diám tablas producc'!C33</f>
        <v>10</v>
      </c>
      <c r="D6" s="127">
        <f>'Alt_diám tablas producc'!D33</f>
        <v>11.4</v>
      </c>
      <c r="E6" s="23">
        <f>'Alt_diám tablas producc'!E33</f>
        <v>7.9045013883379617E-2</v>
      </c>
      <c r="F6" s="50"/>
      <c r="G6" s="51">
        <f>-3.824+0.01709*POWER(C6,2)*D6</f>
        <v>15.658600000000002</v>
      </c>
      <c r="H6" s="51">
        <f>0.00165*POWER(C6,2.392)*POWER(D6,0.761)</f>
        <v>2.5929165282014739</v>
      </c>
      <c r="I6" s="51">
        <f>0.04649*POWER(C6,2.183)</f>
        <v>7.085321252403606</v>
      </c>
      <c r="J6" s="51"/>
      <c r="K6" s="51">
        <f>0.01246*POWER(C6,2.44)</f>
        <v>3.4317689643593581</v>
      </c>
      <c r="L6" s="51">
        <f>0.01908*POWER(C6,2)</f>
        <v>1.9079999999999999</v>
      </c>
      <c r="M6" s="51">
        <f>0.001016*POWER(C6,2)*D6</f>
        <v>1.1582399999999999</v>
      </c>
      <c r="N6" s="51"/>
      <c r="O6" s="51">
        <f t="shared" si="0"/>
        <v>31.834846744964437</v>
      </c>
      <c r="P6" s="51">
        <f>1.042*POWER(C6,1.254)</f>
        <v>18.701124391594931</v>
      </c>
      <c r="Q6" s="41">
        <f t="shared" si="1"/>
        <v>50.535971136559368</v>
      </c>
      <c r="R6" s="23">
        <f>(Q6*0.5*44/12)/1000</f>
        <v>9.2649280417025512E-2</v>
      </c>
      <c r="S6" s="130">
        <f>(E6-R6)/E6</f>
        <v>-0.1721078391322339</v>
      </c>
    </row>
    <row r="7" spans="1:27" x14ac:dyDescent="0.25">
      <c r="A7" s="112" t="s">
        <v>171</v>
      </c>
      <c r="B7" s="126">
        <v>30</v>
      </c>
      <c r="C7" s="127">
        <f>'Alt_diám tablas producc'!C34</f>
        <v>12</v>
      </c>
      <c r="D7" s="127">
        <f>'Alt_diám tablas producc'!D34</f>
        <v>13.2</v>
      </c>
      <c r="E7" s="23">
        <f>'Alt_diám tablas producc'!E34</f>
        <v>0.13044307692307691</v>
      </c>
      <c r="F7" s="50"/>
      <c r="G7" s="51">
        <f>-3.824+0.01709*POWER(C7,2)*D7</f>
        <v>28.660671999999998</v>
      </c>
      <c r="H7" s="51">
        <f>0.00165*POWER(C7,2.392)*POWER(D7,0.761)</f>
        <v>4.4837588450066344</v>
      </c>
      <c r="I7" s="51">
        <f>0.04649*POWER(C7,2.183)</f>
        <v>10.549022200477079</v>
      </c>
      <c r="J7" s="51"/>
      <c r="K7" s="51">
        <f>0.01246*POWER(C7,2.44)</f>
        <v>5.3545167649716277</v>
      </c>
      <c r="L7" s="51">
        <f>0.01908*POWER(C7,2)</f>
        <v>2.7475199999999997</v>
      </c>
      <c r="M7" s="51">
        <f>0.001016*POWER(C7,2)*D7</f>
        <v>1.9312127999999997</v>
      </c>
      <c r="N7" s="51"/>
      <c r="O7" s="51">
        <f t="shared" si="0"/>
        <v>53.726702610455334</v>
      </c>
      <c r="P7" s="51">
        <f>1.042*POWER(C7,1.254)</f>
        <v>23.505040374320121</v>
      </c>
      <c r="Q7" s="41">
        <f t="shared" si="1"/>
        <v>77.231742984775451</v>
      </c>
      <c r="R7" s="23">
        <f>(Q7*0.5*44/12)/1000</f>
        <v>0.14159152880542167</v>
      </c>
      <c r="S7" s="130">
        <f>(E7-R7)/E7</f>
        <v>-8.5466029668397558E-2</v>
      </c>
    </row>
    <row r="8" spans="1:27" x14ac:dyDescent="0.25">
      <c r="A8" s="112" t="s">
        <v>171</v>
      </c>
      <c r="B8" s="126">
        <v>35</v>
      </c>
      <c r="C8" s="127">
        <f>'Alt_diám tablas producc'!C35</f>
        <v>14.2</v>
      </c>
      <c r="D8" s="127">
        <f>'Alt_diám tablas producc'!D35</f>
        <v>14.8</v>
      </c>
      <c r="E8" s="23">
        <f>'Alt_diám tablas producc'!E35</f>
        <v>0.2005983526734926</v>
      </c>
      <c r="F8" s="50"/>
      <c r="G8" s="51">
        <f>-3.824+0.01709*POWER(C8,2)*D8</f>
        <v>47.177208480000004</v>
      </c>
      <c r="H8" s="51">
        <f>0.00165*POWER(C8,2.392)*POWER(D8,0.761)</f>
        <v>7.3168951110807541</v>
      </c>
      <c r="I8" s="51">
        <f>0.04649*POWER(C8,2.183)</f>
        <v>15.233686083924724</v>
      </c>
      <c r="J8" s="51"/>
      <c r="K8" s="51">
        <f>0.01246*POWER(C8,2.44)</f>
        <v>8.0742390390561471</v>
      </c>
      <c r="L8" s="51">
        <f>0.01908*POWER(C8,2)</f>
        <v>3.8472911999999995</v>
      </c>
      <c r="M8" s="51">
        <f>0.001016*POWER(C8,2)*D8</f>
        <v>3.032020352</v>
      </c>
      <c r="N8" s="51"/>
      <c r="O8" s="51">
        <f t="shared" si="0"/>
        <v>84.681340266061639</v>
      </c>
      <c r="P8" s="51">
        <f>1.042*POWER(C8,1.254)</f>
        <v>29.029349413408013</v>
      </c>
      <c r="Q8" s="41">
        <f t="shared" si="1"/>
        <v>113.71068967946965</v>
      </c>
      <c r="R8" s="23">
        <f>(Q8*0.5*44/12)/1000</f>
        <v>0.20846959774569435</v>
      </c>
      <c r="S8" s="130">
        <f>(E8-R8)/E8</f>
        <v>-3.9238832060667576E-2</v>
      </c>
    </row>
    <row r="9" spans="1:27" x14ac:dyDescent="0.25">
      <c r="A9" s="112" t="s">
        <v>171</v>
      </c>
      <c r="B9" s="126">
        <v>40</v>
      </c>
      <c r="C9" s="127">
        <f>'Alt_diám tablas producc'!C36</f>
        <v>16.399999999999999</v>
      </c>
      <c r="D9" s="127">
        <f>'Alt_diám tablas producc'!D36</f>
        <v>16.399999999999999</v>
      </c>
      <c r="E9" s="23">
        <f>'Alt_diám tablas producc'!E36</f>
        <v>0.28954389370306183</v>
      </c>
      <c r="F9" s="50"/>
      <c r="G9" s="51">
        <f>-3.824+0.01709*POWER(C9,2)*D9</f>
        <v>71.559032959999996</v>
      </c>
      <c r="H9" s="51">
        <f>0.00165*POWER(C9,2.392)*POWER(D9,0.761)</f>
        <v>11.165716507363488</v>
      </c>
      <c r="I9" s="51">
        <f>0.04649*POWER(C9,2.183)</f>
        <v>20.862371104918171</v>
      </c>
      <c r="J9" s="51"/>
      <c r="K9" s="51">
        <f>0.01246*POWER(C9,2.44)</f>
        <v>11.474586166362553</v>
      </c>
      <c r="L9" s="51">
        <f>0.01908*POWER(C9,2)</f>
        <v>5.1317567999999998</v>
      </c>
      <c r="M9" s="51">
        <f>0.001016*POWER(C9,2)*D9</f>
        <v>4.4815191039999993</v>
      </c>
      <c r="N9" s="51"/>
      <c r="O9" s="51">
        <f t="shared" si="0"/>
        <v>124.67498264264421</v>
      </c>
      <c r="P9" s="51">
        <f>1.042*POWER(C9,1.254)</f>
        <v>34.776182349188574</v>
      </c>
      <c r="Q9" s="41">
        <f t="shared" si="1"/>
        <v>159.4511649918328</v>
      </c>
      <c r="R9" s="23">
        <f>(Q9*0.5*44/12)/1000</f>
        <v>0.29232713581836017</v>
      </c>
      <c r="S9" s="130">
        <f>(E9-R9)/E9</f>
        <v>-9.6125049632463152E-3</v>
      </c>
    </row>
    <row r="10" spans="1:27" hidden="1" x14ac:dyDescent="0.25">
      <c r="A10" s="52" t="s">
        <v>10</v>
      </c>
      <c r="B10" s="121"/>
      <c r="C10" s="6"/>
      <c r="D10" s="6"/>
      <c r="E10" s="6"/>
      <c r="F10" s="50">
        <f>IF(C10&gt;12.5,1,0)</f>
        <v>0</v>
      </c>
      <c r="G10" s="51">
        <f>0.0142*POWER(C10,2)*D10</f>
        <v>0</v>
      </c>
      <c r="H10" s="51"/>
      <c r="I10" s="51">
        <f>0.223*POWER((C10-12.5),2)*F10</f>
        <v>0</v>
      </c>
      <c r="J10" s="51">
        <f>0.23*C10*D10</f>
        <v>0</v>
      </c>
      <c r="K10" s="51">
        <f>0.221*C10*D10</f>
        <v>0</v>
      </c>
      <c r="L10" s="51"/>
      <c r="M10" s="51"/>
      <c r="N10" s="51"/>
      <c r="O10" s="51">
        <f t="shared" si="0"/>
        <v>0</v>
      </c>
      <c r="P10" s="51">
        <f>0.0211*POWER(C10,2.804)</f>
        <v>0</v>
      </c>
      <c r="Q10" s="41">
        <f t="shared" si="1"/>
        <v>0</v>
      </c>
      <c r="R10" s="58" t="e">
        <f>#REF!*0.5*44/12</f>
        <v>#REF!</v>
      </c>
      <c r="U10" t="s">
        <v>175</v>
      </c>
      <c r="V10">
        <v>20</v>
      </c>
      <c r="W10">
        <v>6.1</v>
      </c>
      <c r="X10">
        <v>8.6</v>
      </c>
      <c r="Y10">
        <v>1.5217287788533138E-2</v>
      </c>
      <c r="Z10">
        <v>3.2941541673333324E-2</v>
      </c>
      <c r="AA10">
        <v>-1.1647446069960083</v>
      </c>
    </row>
    <row r="11" spans="1:27" hidden="1" x14ac:dyDescent="0.25">
      <c r="A11" s="52" t="s">
        <v>172</v>
      </c>
      <c r="B11" s="121"/>
      <c r="C11" s="6"/>
      <c r="D11" s="6"/>
      <c r="E11" s="6"/>
      <c r="F11" s="50"/>
      <c r="G11" s="51">
        <f>0.142*POWER(C11,1.974)</f>
        <v>0</v>
      </c>
      <c r="H11" s="51"/>
      <c r="I11" s="51">
        <f>0.104*POWER(C11,2)</f>
        <v>0</v>
      </c>
      <c r="J11" s="51">
        <f>0.0538*POWER(D11,2)</f>
        <v>0</v>
      </c>
      <c r="K11" s="51">
        <f>0.151*POWER(C11,2)-0.0074*POWER(C11,2)*D11</f>
        <v>0</v>
      </c>
      <c r="L11" s="51"/>
      <c r="M11" s="51"/>
      <c r="N11" s="51"/>
      <c r="O11" s="51">
        <f t="shared" si="0"/>
        <v>0</v>
      </c>
      <c r="P11" s="51">
        <f>0.335*POWER(C11,2)</f>
        <v>0</v>
      </c>
      <c r="Q11" s="41">
        <f t="shared" si="1"/>
        <v>0</v>
      </c>
      <c r="R11" s="58" t="e">
        <f>#REF!*0.5*44/12</f>
        <v>#REF!</v>
      </c>
      <c r="U11" t="s">
        <v>175</v>
      </c>
      <c r="V11">
        <v>25</v>
      </c>
      <c r="W11">
        <v>7.625</v>
      </c>
      <c r="X11">
        <v>10.75</v>
      </c>
      <c r="Y11">
        <v>7.1845487999999916E-2</v>
      </c>
      <c r="Z11">
        <v>5.5124144023437502E-2</v>
      </c>
      <c r="AA11">
        <v>0.23274034935307883</v>
      </c>
    </row>
    <row r="12" spans="1:27" hidden="1" x14ac:dyDescent="0.25">
      <c r="A12" s="52" t="s">
        <v>23</v>
      </c>
      <c r="B12" s="121"/>
      <c r="C12" s="6"/>
      <c r="D12" s="6"/>
      <c r="E12" s="6"/>
      <c r="F12" s="50"/>
      <c r="G12" s="51">
        <f>0.0221*POWER(C12,2)*D12</f>
        <v>0</v>
      </c>
      <c r="H12" s="51"/>
      <c r="I12" s="51"/>
      <c r="J12" s="51">
        <f>0.154*POWER(C12,1.668)</f>
        <v>0</v>
      </c>
      <c r="K12" s="51">
        <f>0.18*POWER((POWER(C12,2)*D12),0.587)</f>
        <v>0</v>
      </c>
      <c r="L12" s="51"/>
      <c r="M12" s="51"/>
      <c r="N12" s="51"/>
      <c r="O12" s="51">
        <f t="shared" si="0"/>
        <v>0</v>
      </c>
      <c r="P12" s="50">
        <f>IF(C12&lt;22.5,170.3,(IF(C12&lt;42.5,199.5,229.4)))</f>
        <v>170.3</v>
      </c>
      <c r="Q12" s="41">
        <f t="shared" si="1"/>
        <v>170.3</v>
      </c>
      <c r="R12" s="58" t="e">
        <f>#REF!*0.5*44/12</f>
        <v>#REF!</v>
      </c>
      <c r="U12" t="s">
        <v>175</v>
      </c>
      <c r="V12">
        <v>30</v>
      </c>
      <c r="W12">
        <v>11</v>
      </c>
      <c r="X12">
        <v>11.8</v>
      </c>
      <c r="Y12">
        <v>8.4086478733031669E-2</v>
      </c>
      <c r="Z12">
        <v>0.11843504199999999</v>
      </c>
      <c r="AA12">
        <v>-0.40849092249447694</v>
      </c>
    </row>
    <row r="13" spans="1:27" hidden="1" x14ac:dyDescent="0.25">
      <c r="A13" s="52" t="s">
        <v>173</v>
      </c>
      <c r="B13" s="121"/>
      <c r="C13" s="6"/>
      <c r="D13" s="6"/>
      <c r="E13" s="6"/>
      <c r="F13" s="50"/>
      <c r="G13" s="51">
        <f>0.0094*POWER(C13,2.033)*POWER(D13,1.056)</f>
        <v>0</v>
      </c>
      <c r="H13" s="51">
        <f>0.01342*POWER(C13,2.361)</f>
        <v>0</v>
      </c>
      <c r="I13" s="51"/>
      <c r="J13" s="51">
        <f>0.000059*POWER(C13,3.76)</f>
        <v>0</v>
      </c>
      <c r="K13" s="51">
        <f>0.0128*POWER(C13,1.858)</f>
        <v>0</v>
      </c>
      <c r="L13" s="51">
        <f>0.000922*POWER(C13,2.632)</f>
        <v>0</v>
      </c>
      <c r="M13" s="51">
        <f>0.0053*POWER(C13,2.393)</f>
        <v>0</v>
      </c>
      <c r="N13" s="51">
        <f>0.1451*POWER(C13,1.403)</f>
        <v>0</v>
      </c>
      <c r="O13" s="51">
        <f t="shared" si="0"/>
        <v>0</v>
      </c>
      <c r="P13" s="50">
        <f>IF(C13&lt;22.5,170.3,(IF(C13&lt;42.5,199.5,229.4)))</f>
        <v>170.3</v>
      </c>
      <c r="Q13" s="41">
        <f t="shared" si="1"/>
        <v>170.3</v>
      </c>
      <c r="R13" s="58" t="e">
        <f>#REF!*0.5*44/12</f>
        <v>#REF!</v>
      </c>
      <c r="U13" t="s">
        <v>175</v>
      </c>
      <c r="V13">
        <v>35</v>
      </c>
      <c r="W13">
        <v>12.833333333333332</v>
      </c>
      <c r="X13">
        <v>13.766666666666667</v>
      </c>
      <c r="Y13">
        <v>0.25871283899999992</v>
      </c>
      <c r="Z13">
        <v>0.17066866221913576</v>
      </c>
      <c r="AA13">
        <v>0.34031622520621863</v>
      </c>
    </row>
    <row r="14" spans="1:27" hidden="1" x14ac:dyDescent="0.25">
      <c r="A14" s="52" t="s">
        <v>174</v>
      </c>
      <c r="B14" s="121"/>
      <c r="C14" s="6"/>
      <c r="D14" s="6"/>
      <c r="E14" s="6"/>
      <c r="F14" s="50">
        <f t="shared" ref="F14:F19" si="2">IF(C14&gt;22.5,1,0)</f>
        <v>0</v>
      </c>
      <c r="G14" s="51">
        <f t="shared" ref="G14:G19" si="3">0.0676*POWER(C14,2)+0.0182*POWER(C14,2)*D14</f>
        <v>0</v>
      </c>
      <c r="H14" s="51"/>
      <c r="I14" s="51">
        <f t="shared" ref="I14:I19" si="4">(0.83*POWER((C14-22.5),2)-0.0248*POWER((C14-22.5),2)*D14)*F14</f>
        <v>0</v>
      </c>
      <c r="J14" s="51">
        <f t="shared" ref="J14:J19" si="5">0.0792*POWER(C14,2)</f>
        <v>0</v>
      </c>
      <c r="K14" s="51">
        <f t="shared" ref="K14:K19" si="6">0.093*POWER(C14,2)-0.00226*POWER(C14,2)*D14</f>
        <v>0</v>
      </c>
      <c r="L14" s="51"/>
      <c r="M14" s="51"/>
      <c r="N14" s="51"/>
      <c r="O14" s="51">
        <f t="shared" si="0"/>
        <v>0</v>
      </c>
      <c r="P14" s="51">
        <f>12.143*POWER(C14,1.111)</f>
        <v>0</v>
      </c>
      <c r="Q14" s="41">
        <f t="shared" si="1"/>
        <v>0</v>
      </c>
      <c r="R14" s="58" t="e">
        <f>#REF!*0.5*44/12</f>
        <v>#REF!</v>
      </c>
      <c r="U14" t="s">
        <v>175</v>
      </c>
      <c r="V14">
        <v>40</v>
      </c>
      <c r="W14">
        <v>15.3</v>
      </c>
      <c r="X14">
        <v>14.5</v>
      </c>
      <c r="Y14">
        <v>0.22629552729785765</v>
      </c>
      <c r="Z14">
        <v>0.24759816345000005</v>
      </c>
      <c r="AA14">
        <v>-9.4136355263014823E-2</v>
      </c>
    </row>
    <row r="15" spans="1:27" x14ac:dyDescent="0.25">
      <c r="A15" s="112" t="s">
        <v>175</v>
      </c>
      <c r="B15" s="126">
        <v>20</v>
      </c>
      <c r="C15" s="127">
        <f>'Alt_diám tablas producc'!C37</f>
        <v>6.1</v>
      </c>
      <c r="D15" s="127">
        <f>'Alt_diám tablas producc'!D37</f>
        <v>8.6</v>
      </c>
      <c r="E15" s="23">
        <f>'Alt_diám tablas producc'!E37</f>
        <v>1.5217287788533138E-2</v>
      </c>
      <c r="F15" s="50">
        <f t="shared" si="2"/>
        <v>0</v>
      </c>
      <c r="G15" s="51">
        <f t="shared" si="3"/>
        <v>8.3395051999999978</v>
      </c>
      <c r="H15" s="51"/>
      <c r="I15" s="51">
        <f t="shared" si="4"/>
        <v>0</v>
      </c>
      <c r="J15" s="51">
        <f t="shared" si="5"/>
        <v>2.9470319999999997</v>
      </c>
      <c r="K15" s="51">
        <f t="shared" si="6"/>
        <v>2.7373164399999999</v>
      </c>
      <c r="L15" s="51"/>
      <c r="M15" s="51"/>
      <c r="N15" s="51"/>
      <c r="O15" s="51">
        <f t="shared" si="0"/>
        <v>14.023853639999999</v>
      </c>
      <c r="P15" s="51">
        <f>0.106*POWER(C15,2)</f>
        <v>3.9442599999999994</v>
      </c>
      <c r="Q15" s="41">
        <f t="shared" si="1"/>
        <v>17.968113639999999</v>
      </c>
      <c r="R15" s="23">
        <f>(Q15*0.5*44/12)/1000</f>
        <v>3.2941541673333324E-2</v>
      </c>
      <c r="S15" s="130">
        <f>(E15-R15)/E15</f>
        <v>-1.1647446069960083</v>
      </c>
    </row>
    <row r="16" spans="1:27" x14ac:dyDescent="0.25">
      <c r="A16" s="112" t="s">
        <v>175</v>
      </c>
      <c r="B16" s="126">
        <v>25</v>
      </c>
      <c r="C16" s="127">
        <f>'Alt_diám tablas producc'!C38</f>
        <v>7.625</v>
      </c>
      <c r="D16" s="127">
        <f>'Alt_diám tablas producc'!D38</f>
        <v>10.75</v>
      </c>
      <c r="E16" s="23">
        <f>'Alt_diám tablas producc'!E38</f>
        <v>7.1845487999999916E-2</v>
      </c>
      <c r="F16" s="50">
        <f t="shared" si="2"/>
        <v>0</v>
      </c>
      <c r="G16" s="51">
        <f t="shared" si="3"/>
        <v>15.305519531249999</v>
      </c>
      <c r="H16" s="51"/>
      <c r="I16" s="51">
        <f t="shared" si="4"/>
        <v>0</v>
      </c>
      <c r="J16" s="51">
        <f t="shared" si="5"/>
        <v>4.6047375000000006</v>
      </c>
      <c r="K16" s="51">
        <f t="shared" si="6"/>
        <v>3.9945516406250001</v>
      </c>
      <c r="L16" s="51"/>
      <c r="M16" s="51"/>
      <c r="N16" s="51"/>
      <c r="O16" s="51">
        <f t="shared" si="0"/>
        <v>23.904808671874999</v>
      </c>
      <c r="P16" s="51">
        <f>0.106*POWER(C16,2)</f>
        <v>6.1629062499999998</v>
      </c>
      <c r="Q16" s="41">
        <f t="shared" si="1"/>
        <v>30.067714921874998</v>
      </c>
      <c r="R16" s="23">
        <f>(Q16*0.5*44/12)/1000</f>
        <v>5.5124144023437502E-2</v>
      </c>
      <c r="S16" s="130">
        <f>(E16-R16)/E16</f>
        <v>0.23274034935307883</v>
      </c>
    </row>
    <row r="17" spans="1:27" x14ac:dyDescent="0.25">
      <c r="A17" s="112" t="s">
        <v>175</v>
      </c>
      <c r="B17" s="126">
        <v>30</v>
      </c>
      <c r="C17" s="127">
        <f>'Alt_diám tablas producc'!C39</f>
        <v>11</v>
      </c>
      <c r="D17" s="127">
        <f>'Alt_diám tablas producc'!D39</f>
        <v>11.8</v>
      </c>
      <c r="E17" s="23">
        <f>'Alt_diám tablas producc'!E39</f>
        <v>8.4086478733031669E-2</v>
      </c>
      <c r="F17" s="50">
        <f t="shared" si="2"/>
        <v>0</v>
      </c>
      <c r="G17" s="51">
        <f t="shared" si="3"/>
        <v>34.165559999999999</v>
      </c>
      <c r="H17" s="51"/>
      <c r="I17" s="51">
        <f t="shared" si="4"/>
        <v>0</v>
      </c>
      <c r="J17" s="51">
        <f t="shared" si="5"/>
        <v>9.5832000000000015</v>
      </c>
      <c r="K17" s="51">
        <f t="shared" si="6"/>
        <v>8.0261720000000008</v>
      </c>
      <c r="L17" s="51"/>
      <c r="M17" s="51"/>
      <c r="N17" s="51"/>
      <c r="O17" s="51">
        <f t="shared" si="0"/>
        <v>51.774932000000007</v>
      </c>
      <c r="P17" s="51">
        <f>0.106*POWER(C17,2)</f>
        <v>12.826000000000001</v>
      </c>
      <c r="Q17" s="41">
        <f t="shared" si="1"/>
        <v>64.600932</v>
      </c>
      <c r="R17" s="23">
        <f>(Q17*0.5*44/12)/1000</f>
        <v>0.11843504199999999</v>
      </c>
      <c r="S17" s="130">
        <f>(E17-R17)/E17</f>
        <v>-0.40849092249447694</v>
      </c>
    </row>
    <row r="18" spans="1:27" x14ac:dyDescent="0.25">
      <c r="A18" s="112" t="s">
        <v>175</v>
      </c>
      <c r="B18" s="126">
        <v>35</v>
      </c>
      <c r="C18" s="127">
        <f>'Alt_diám tablas producc'!C40</f>
        <v>12.833333333333332</v>
      </c>
      <c r="D18" s="127">
        <f>'Alt_diám tablas producc'!D40</f>
        <v>13.766666666666667</v>
      </c>
      <c r="E18" s="23">
        <f>'Alt_diám tablas producc'!E40</f>
        <v>0.25871283899999992</v>
      </c>
      <c r="F18" s="50">
        <f t="shared" si="2"/>
        <v>0</v>
      </c>
      <c r="G18" s="51">
        <f t="shared" si="3"/>
        <v>52.398086481481471</v>
      </c>
      <c r="H18" s="51"/>
      <c r="I18" s="51">
        <f t="shared" si="4"/>
        <v>0</v>
      </c>
      <c r="J18" s="51">
        <f t="shared" si="5"/>
        <v>13.043799999999997</v>
      </c>
      <c r="K18" s="51">
        <f t="shared" si="6"/>
        <v>10.192499981481479</v>
      </c>
      <c r="L18" s="51"/>
      <c r="M18" s="51"/>
      <c r="N18" s="51"/>
      <c r="O18" s="51">
        <f t="shared" si="0"/>
        <v>75.634386462962951</v>
      </c>
      <c r="P18" s="51">
        <f>0.106*POWER(C18,2)</f>
        <v>17.457611111111106</v>
      </c>
      <c r="Q18" s="41">
        <f t="shared" si="1"/>
        <v>93.091997574074057</v>
      </c>
      <c r="R18" s="23">
        <f>(Q18*0.5*44/12)/1000</f>
        <v>0.17066866221913576</v>
      </c>
      <c r="S18" s="130">
        <f>(E18-R18)/E18</f>
        <v>0.34031622520621863</v>
      </c>
    </row>
    <row r="19" spans="1:27" x14ac:dyDescent="0.25">
      <c r="A19" s="112" t="s">
        <v>175</v>
      </c>
      <c r="B19" s="126">
        <v>40</v>
      </c>
      <c r="C19" s="127">
        <f>'Alt_diám tablas producc'!C41</f>
        <v>15.3</v>
      </c>
      <c r="D19" s="127">
        <f>'Alt_diám tablas producc'!D41</f>
        <v>14.5</v>
      </c>
      <c r="E19" s="23">
        <f>'Alt_diám tablas producc'!E41</f>
        <v>0.22629552729785765</v>
      </c>
      <c r="F19" s="50">
        <f t="shared" si="2"/>
        <v>0</v>
      </c>
      <c r="G19" s="51">
        <f t="shared" si="3"/>
        <v>77.600835000000004</v>
      </c>
      <c r="H19" s="51"/>
      <c r="I19" s="51">
        <f t="shared" si="4"/>
        <v>0</v>
      </c>
      <c r="J19" s="51">
        <f t="shared" si="5"/>
        <v>18.539928000000003</v>
      </c>
      <c r="K19" s="51">
        <f t="shared" si="6"/>
        <v>14.099240700000003</v>
      </c>
      <c r="L19" s="51"/>
      <c r="M19" s="51"/>
      <c r="N19" s="51"/>
      <c r="O19" s="51">
        <f t="shared" si="0"/>
        <v>110.24000370000002</v>
      </c>
      <c r="P19" s="51">
        <f>0.106*POWER(C19,2)</f>
        <v>24.813540000000003</v>
      </c>
      <c r="Q19" s="41">
        <f t="shared" si="1"/>
        <v>135.05354370000003</v>
      </c>
      <c r="R19" s="23">
        <f>(Q19*0.5*44/12)/1000</f>
        <v>0.24759816345000005</v>
      </c>
      <c r="S19" s="130">
        <f>(E19-R19)/E19</f>
        <v>-9.4136355263014823E-2</v>
      </c>
    </row>
    <row r="20" spans="1:27" hidden="1" x14ac:dyDescent="0.25">
      <c r="A20" s="52" t="s">
        <v>176</v>
      </c>
      <c r="B20" s="121"/>
      <c r="C20" s="6"/>
      <c r="D20" s="6"/>
      <c r="E20" s="6"/>
      <c r="F20" s="50">
        <f>IF(C20&gt;12.5,1,0)</f>
        <v>0</v>
      </c>
      <c r="G20" s="51">
        <f>0.0296*POWER(C20,2)*D20</f>
        <v>0</v>
      </c>
      <c r="H20" s="51"/>
      <c r="I20" s="51">
        <f>0.231*POWER((C20-12.5),2)*F20</f>
        <v>0</v>
      </c>
      <c r="J20" s="51">
        <f>0.0925*POWER(C20,2)</f>
        <v>0</v>
      </c>
      <c r="K20" s="51">
        <f>2.005*C20</f>
        <v>0</v>
      </c>
      <c r="L20" s="51"/>
      <c r="M20" s="51"/>
      <c r="N20" s="51"/>
      <c r="O20" s="51">
        <f t="shared" si="0"/>
        <v>0</v>
      </c>
      <c r="P20" s="51">
        <f>0.359*POWER(C20,2)</f>
        <v>0</v>
      </c>
      <c r="Q20" s="41">
        <f t="shared" si="1"/>
        <v>0</v>
      </c>
      <c r="R20" s="58" t="e">
        <f>#REF!*0.5*44/12</f>
        <v>#REF!</v>
      </c>
      <c r="U20" t="s">
        <v>44</v>
      </c>
      <c r="V20">
        <v>20</v>
      </c>
      <c r="W20">
        <v>14.6</v>
      </c>
      <c r="X20">
        <v>12.5</v>
      </c>
      <c r="Y20">
        <v>5.106013626430133E-2</v>
      </c>
      <c r="Z20">
        <v>0.18382044761299327</v>
      </c>
      <c r="AA20">
        <v>-2.6000774980600911</v>
      </c>
    </row>
    <row r="21" spans="1:27" hidden="1" x14ac:dyDescent="0.25">
      <c r="A21" s="52" t="s">
        <v>107</v>
      </c>
      <c r="B21" s="121"/>
      <c r="C21" s="6"/>
      <c r="D21" s="6"/>
      <c r="E21" s="6"/>
      <c r="F21" s="50">
        <f>IF(C21&gt;22.5,1,0)</f>
        <v>0</v>
      </c>
      <c r="G21" s="51">
        <f>0.0132*POWER(C21,2)*D21+0.217*C21*D21</f>
        <v>0</v>
      </c>
      <c r="H21" s="51"/>
      <c r="I21" s="51">
        <f>0.107*POWER((C21-22.5),2)*F21</f>
        <v>0</v>
      </c>
      <c r="J21" s="51">
        <f>0.00792*POWER(C21,2)*D21</f>
        <v>0</v>
      </c>
      <c r="K21" s="51">
        <f>0.273*C21*D21</f>
        <v>0</v>
      </c>
      <c r="L21" s="51"/>
      <c r="M21" s="51"/>
      <c r="N21" s="51"/>
      <c r="O21" s="51">
        <f t="shared" si="0"/>
        <v>0</v>
      </c>
      <c r="P21" s="51">
        <f>0.0767*POWER(C21,2)</f>
        <v>0</v>
      </c>
      <c r="Q21" s="41">
        <f t="shared" si="1"/>
        <v>0</v>
      </c>
      <c r="R21" s="58" t="e">
        <f>#REF!*0.5*44/12</f>
        <v>#REF!</v>
      </c>
      <c r="U21" t="s">
        <v>44</v>
      </c>
      <c r="V21">
        <v>25</v>
      </c>
      <c r="W21">
        <v>18.899999999999999</v>
      </c>
      <c r="X21">
        <v>15.7</v>
      </c>
      <c r="Y21">
        <v>0.1640738859845656</v>
      </c>
      <c r="Z21">
        <v>0.34826063882451141</v>
      </c>
      <c r="AA21">
        <v>-1.1225842048823798</v>
      </c>
    </row>
    <row r="22" spans="1:27" hidden="1" x14ac:dyDescent="0.25">
      <c r="A22" s="52" t="s">
        <v>177</v>
      </c>
      <c r="B22" s="121"/>
      <c r="C22" s="6"/>
      <c r="D22" s="6"/>
      <c r="E22" s="6"/>
      <c r="F22" s="50"/>
      <c r="G22" s="51">
        <f>0.0114*POWER(C22,2)*D22</f>
        <v>0</v>
      </c>
      <c r="H22" s="51"/>
      <c r="I22" s="51">
        <f>0.0108*POWER(C22,2)*D22</f>
        <v>0</v>
      </c>
      <c r="J22" s="51">
        <f>1.672*C22</f>
        <v>0</v>
      </c>
      <c r="K22" s="51">
        <f>0.0354*POWER(C22,2)+1.187*D22</f>
        <v>0</v>
      </c>
      <c r="L22" s="51"/>
      <c r="M22" s="51"/>
      <c r="N22" s="51"/>
      <c r="O22" s="51">
        <f t="shared" si="0"/>
        <v>0</v>
      </c>
      <c r="P22" s="51">
        <f>0.147*POWER(C22,2)</f>
        <v>0</v>
      </c>
      <c r="Q22" s="41">
        <f t="shared" si="1"/>
        <v>0</v>
      </c>
      <c r="R22" s="58" t="e">
        <f>#REF!*0.5*44/12</f>
        <v>#REF!</v>
      </c>
      <c r="U22" t="s">
        <v>44</v>
      </c>
      <c r="V22">
        <v>30</v>
      </c>
      <c r="W22">
        <v>23.2</v>
      </c>
      <c r="X22">
        <v>18.600000000000001</v>
      </c>
      <c r="Y22">
        <v>0.33158945736434114</v>
      </c>
      <c r="Z22">
        <v>0.57646899987068079</v>
      </c>
      <c r="AA22">
        <v>-0.73850219621811708</v>
      </c>
    </row>
    <row r="23" spans="1:27" x14ac:dyDescent="0.25">
      <c r="A23" s="112" t="s">
        <v>43</v>
      </c>
      <c r="B23" s="126">
        <v>20</v>
      </c>
      <c r="C23" s="127">
        <f>'Alt_diám tablas producc'!C2</f>
        <v>3.2</v>
      </c>
      <c r="D23" s="127">
        <f>'Alt_diám tablas producc'!D2</f>
        <v>4.7</v>
      </c>
      <c r="E23" s="23">
        <f>'Alt_diám tablas producc'!E2</f>
        <v>0</v>
      </c>
      <c r="F23" s="50">
        <f>IF(C23&gt;27.5,1,0)</f>
        <v>0</v>
      </c>
      <c r="G23" s="51">
        <f>0.0139*POWER(C23,2)*D23</f>
        <v>0.66897920000000011</v>
      </c>
      <c r="H23" s="51"/>
      <c r="I23" s="51">
        <f>3.926*(C23-27.5)*F23</f>
        <v>0</v>
      </c>
      <c r="J23" s="51">
        <f>4.257+0.00506*POWER(C23,2)*D23-0.0722*C23*D23</f>
        <v>3.4146396799999992</v>
      </c>
      <c r="K23" s="51">
        <f>6.197+0.00932*POWER(D23,2)*F23-0.0686*D23*F23</f>
        <v>6.1970000000000001</v>
      </c>
      <c r="L23" s="51"/>
      <c r="M23" s="51"/>
      <c r="N23" s="51"/>
      <c r="O23" s="51">
        <f t="shared" si="0"/>
        <v>10.280618879999999</v>
      </c>
      <c r="P23" s="51">
        <f>0.0785*POWER(C23,2)</f>
        <v>0.80384000000000011</v>
      </c>
      <c r="Q23" s="41">
        <f t="shared" si="1"/>
        <v>11.08445888</v>
      </c>
      <c r="R23" s="23">
        <f t="shared" ref="R23:R37" si="7">(Q23*0.5*44/12)/1000</f>
        <v>2.0321507946666668E-2</v>
      </c>
      <c r="S23" s="130" t="e">
        <f t="shared" ref="S23:S37" si="8">(E23-R23)/E23</f>
        <v>#DIV/0!</v>
      </c>
    </row>
    <row r="24" spans="1:27" x14ac:dyDescent="0.25">
      <c r="A24" s="112" t="s">
        <v>43</v>
      </c>
      <c r="B24" s="126">
        <v>25</v>
      </c>
      <c r="C24" s="127">
        <f>'Alt_diám tablas producc'!C3</f>
        <v>5.9</v>
      </c>
      <c r="D24" s="127">
        <f>'Alt_diám tablas producc'!D3</f>
        <v>5.8</v>
      </c>
      <c r="E24" s="23">
        <f>'Alt_diám tablas producc'!E3</f>
        <v>5.7257669413919412E-3</v>
      </c>
      <c r="F24" s="50">
        <f>IF(C24&gt;27.5,1,0)</f>
        <v>0</v>
      </c>
      <c r="G24" s="51">
        <f>0.0139*POWER(C24,2)*D24</f>
        <v>2.8063821999999998</v>
      </c>
      <c r="H24" s="51"/>
      <c r="I24" s="51">
        <f>3.926*(C24-27.5)*F24</f>
        <v>0</v>
      </c>
      <c r="J24" s="51">
        <f>4.257+0.00506*POWER(C24,2)*D24-0.0722*C24*D24</f>
        <v>2.8079198800000005</v>
      </c>
      <c r="K24" s="51">
        <f>6.197+0.00932*POWER(D24,2)*F24-0.0686*D24*F24</f>
        <v>6.1970000000000001</v>
      </c>
      <c r="L24" s="51"/>
      <c r="M24" s="51"/>
      <c r="N24" s="51"/>
      <c r="O24" s="51">
        <f t="shared" si="0"/>
        <v>11.811302080000001</v>
      </c>
      <c r="P24" s="51">
        <f>0.0785*POWER(C24,2)</f>
        <v>2.7325850000000003</v>
      </c>
      <c r="Q24" s="41">
        <f t="shared" si="1"/>
        <v>14.543887080000001</v>
      </c>
      <c r="R24" s="23">
        <f t="shared" si="7"/>
        <v>2.666379298E-2</v>
      </c>
      <c r="S24" s="130">
        <f t="shared" si="8"/>
        <v>-3.6568072457238365</v>
      </c>
    </row>
    <row r="25" spans="1:27" x14ac:dyDescent="0.25">
      <c r="A25" s="112" t="s">
        <v>43</v>
      </c>
      <c r="B25" s="126">
        <v>30</v>
      </c>
      <c r="C25" s="127">
        <f>'Alt_diám tablas producc'!C4</f>
        <v>8.6999999999999993</v>
      </c>
      <c r="D25" s="127">
        <f>'Alt_diám tablas producc'!D4</f>
        <v>6.9</v>
      </c>
      <c r="E25" s="23">
        <f>'Alt_diám tablas producc'!E4</f>
        <v>1.6673433333333335E-2</v>
      </c>
      <c r="F25" s="50">
        <f>IF(C25&gt;27.5,1,0)</f>
        <v>0</v>
      </c>
      <c r="G25" s="51">
        <f>0.0139*POWER(C25,2)*D25</f>
        <v>7.2594278999999977</v>
      </c>
      <c r="H25" s="51"/>
      <c r="I25" s="51">
        <f>3.926*(C25-27.5)*F25</f>
        <v>0</v>
      </c>
      <c r="J25" s="51">
        <f>4.257+0.00506*POWER(C25,2)*D25-0.0722*C25*D25</f>
        <v>2.5654746599999996</v>
      </c>
      <c r="K25" s="51">
        <f>6.197+0.00932*POWER(D25,2)*F25-0.0686*D25*F25</f>
        <v>6.1970000000000001</v>
      </c>
      <c r="L25" s="51"/>
      <c r="M25" s="51"/>
      <c r="N25" s="51"/>
      <c r="O25" s="51">
        <f t="shared" si="0"/>
        <v>16.021902559999997</v>
      </c>
      <c r="P25" s="51">
        <f>0.0785*POWER(C25,2)</f>
        <v>5.9416649999999986</v>
      </c>
      <c r="Q25" s="41">
        <f t="shared" si="1"/>
        <v>21.963567559999994</v>
      </c>
      <c r="R25" s="23">
        <f t="shared" si="7"/>
        <v>4.0266540526666651E-2</v>
      </c>
      <c r="S25" s="130">
        <f t="shared" si="8"/>
        <v>-1.4150119367536769</v>
      </c>
    </row>
    <row r="26" spans="1:27" x14ac:dyDescent="0.25">
      <c r="A26" s="112" t="s">
        <v>43</v>
      </c>
      <c r="B26" s="126">
        <v>35</v>
      </c>
      <c r="C26" s="127">
        <f>'Alt_diám tablas producc'!C5</f>
        <v>11.4</v>
      </c>
      <c r="D26" s="127">
        <f>'Alt_diám tablas producc'!D5</f>
        <v>7.9</v>
      </c>
      <c r="E26" s="23">
        <f>'Alt_diám tablas producc'!E5</f>
        <v>3.6539242599000384E-2</v>
      </c>
      <c r="F26" s="50">
        <f>IF(C26&gt;27.5,1,0)</f>
        <v>0</v>
      </c>
      <c r="G26" s="51">
        <f>0.0139*POWER(C26,2)*D26</f>
        <v>14.270907600000001</v>
      </c>
      <c r="H26" s="51"/>
      <c r="I26" s="51">
        <f>3.926*(C26-27.5)*F26</f>
        <v>0</v>
      </c>
      <c r="J26" s="51">
        <f>4.257+0.00506*POWER(C26,2)*D26-0.0722*C26*D26</f>
        <v>2.9496890400000009</v>
      </c>
      <c r="K26" s="51">
        <f>6.197+0.00932*POWER(D26,2)*F26-0.0686*D26*F26</f>
        <v>6.1970000000000001</v>
      </c>
      <c r="L26" s="51"/>
      <c r="M26" s="51"/>
      <c r="N26" s="51"/>
      <c r="O26" s="51">
        <f t="shared" si="0"/>
        <v>23.417596640000003</v>
      </c>
      <c r="P26" s="51">
        <f>0.0785*POWER(C26,2)</f>
        <v>10.20186</v>
      </c>
      <c r="Q26" s="41">
        <f t="shared" si="1"/>
        <v>33.619456640000003</v>
      </c>
      <c r="R26" s="23">
        <f t="shared" si="7"/>
        <v>6.1635670506666677E-2</v>
      </c>
      <c r="S26" s="130">
        <f t="shared" si="8"/>
        <v>-0.68683492384028955</v>
      </c>
    </row>
    <row r="27" spans="1:27" x14ac:dyDescent="0.25">
      <c r="A27" s="112" t="s">
        <v>43</v>
      </c>
      <c r="B27" s="126">
        <v>40</v>
      </c>
      <c r="C27" s="127">
        <f>'Alt_diám tablas producc'!C6</f>
        <v>14.1</v>
      </c>
      <c r="D27" s="127">
        <f>'Alt_diám tablas producc'!D6</f>
        <v>9</v>
      </c>
      <c r="E27" s="23">
        <f>'Alt_diám tablas producc'!E6</f>
        <v>7.085028328611899E-2</v>
      </c>
      <c r="F27" s="50">
        <f>IF(C27&gt;27.5,1,0)</f>
        <v>0</v>
      </c>
      <c r="G27" s="51">
        <f>0.0139*POWER(C27,2)*D27</f>
        <v>24.871130999999998</v>
      </c>
      <c r="H27" s="51"/>
      <c r="I27" s="51">
        <f>3.926*(C27-27.5)*F27</f>
        <v>0</v>
      </c>
      <c r="J27" s="51">
        <f>4.257+0.00506*POWER(C27,2)*D27-0.0722*C27*D27</f>
        <v>4.1486274000000023</v>
      </c>
      <c r="K27" s="51">
        <f>6.197+0.00932*POWER(D27,2)*F27-0.0686*D27*F27</f>
        <v>6.1970000000000001</v>
      </c>
      <c r="L27" s="51"/>
      <c r="M27" s="51"/>
      <c r="N27" s="51"/>
      <c r="O27" s="51">
        <f t="shared" si="0"/>
        <v>35.216758400000003</v>
      </c>
      <c r="P27" s="51">
        <f>0.0785*POWER(C27,2)</f>
        <v>15.606585000000001</v>
      </c>
      <c r="Q27" s="41">
        <f t="shared" si="1"/>
        <v>50.823343400000006</v>
      </c>
      <c r="R27" s="23">
        <f t="shared" si="7"/>
        <v>9.3176129566666682E-2</v>
      </c>
      <c r="S27" s="130">
        <f t="shared" si="8"/>
        <v>-0.31511301359781269</v>
      </c>
    </row>
    <row r="28" spans="1:27" x14ac:dyDescent="0.25">
      <c r="A28" s="112" t="s">
        <v>44</v>
      </c>
      <c r="B28" s="126">
        <v>20</v>
      </c>
      <c r="C28" s="127">
        <f>'Alt_diám tablas producc'!C7</f>
        <v>14.6</v>
      </c>
      <c r="D28" s="127">
        <f>'Alt_diám tablas producc'!D7</f>
        <v>12.5</v>
      </c>
      <c r="E28" s="23">
        <f>'Alt_diám tablas producc'!E7</f>
        <v>5.106013626430133E-2</v>
      </c>
      <c r="F28" s="50">
        <f>IF(C28&gt;32.5,1,0)</f>
        <v>0</v>
      </c>
      <c r="G28" s="51">
        <f>0.0403*POWER(C28,1.838)*POWER(D28,0.945)</f>
        <v>60.529286883024071</v>
      </c>
      <c r="H28" s="51"/>
      <c r="I28" s="51">
        <f>0.228*POWER((C28-32.5),2)*F28</f>
        <v>0</v>
      </c>
      <c r="J28" s="51">
        <f>0.0521*POWER(C28,2)</f>
        <v>11.105636000000001</v>
      </c>
      <c r="K28" s="51">
        <f>0.072*POWER(C28,2)</f>
        <v>15.347519999999999</v>
      </c>
      <c r="L28" s="51"/>
      <c r="M28" s="51"/>
      <c r="N28" s="51"/>
      <c r="O28" s="51">
        <f t="shared" si="0"/>
        <v>86.982442883024078</v>
      </c>
      <c r="P28" s="51">
        <f>0.0189*POWER(C28,2.445)</f>
        <v>13.283255814972245</v>
      </c>
      <c r="Q28" s="41">
        <f t="shared" si="1"/>
        <v>100.26569869799633</v>
      </c>
      <c r="R28" s="23">
        <f t="shared" si="7"/>
        <v>0.18382044761299327</v>
      </c>
      <c r="S28" s="130">
        <f t="shared" si="8"/>
        <v>-2.6000774980600911</v>
      </c>
    </row>
    <row r="29" spans="1:27" x14ac:dyDescent="0.25">
      <c r="A29" s="112" t="s">
        <v>44</v>
      </c>
      <c r="B29" s="126">
        <v>25</v>
      </c>
      <c r="C29" s="127">
        <f>'Alt_diám tablas producc'!C8</f>
        <v>18.899999999999999</v>
      </c>
      <c r="D29" s="127">
        <f>'Alt_diám tablas producc'!D8</f>
        <v>15.7</v>
      </c>
      <c r="E29" s="23">
        <f>'Alt_diám tablas producc'!E8</f>
        <v>0.1640738859845656</v>
      </c>
      <c r="F29" s="50">
        <f>IF(C29&gt;32.5,1,0)</f>
        <v>0</v>
      </c>
      <c r="G29" s="51">
        <f>0.0403*POWER(C29,1.838)*POWER(D29,0.945)</f>
        <v>120.66102596297617</v>
      </c>
      <c r="H29" s="51"/>
      <c r="I29" s="51">
        <f>0.228*POWER((C29-32.5),2)*F29</f>
        <v>0</v>
      </c>
      <c r="J29" s="51">
        <f>0.0521*POWER(C29,2)</f>
        <v>18.610640999999998</v>
      </c>
      <c r="K29" s="51">
        <f>0.072*POWER(C29,2)</f>
        <v>25.719119999999993</v>
      </c>
      <c r="L29" s="51"/>
      <c r="M29" s="51"/>
      <c r="N29" s="51"/>
      <c r="O29" s="51">
        <f t="shared" si="0"/>
        <v>164.99078696297616</v>
      </c>
      <c r="P29" s="51">
        <f>0.0189*POWER(C29,2.445)</f>
        <v>24.969561486757314</v>
      </c>
      <c r="Q29" s="41">
        <f t="shared" si="1"/>
        <v>189.96034844973349</v>
      </c>
      <c r="R29" s="23">
        <f t="shared" si="7"/>
        <v>0.34826063882451141</v>
      </c>
      <c r="S29" s="130">
        <f t="shared" si="8"/>
        <v>-1.1225842048823798</v>
      </c>
    </row>
    <row r="30" spans="1:27" x14ac:dyDescent="0.25">
      <c r="A30" s="112" t="s">
        <v>44</v>
      </c>
      <c r="B30" s="126">
        <v>30</v>
      </c>
      <c r="C30" s="127">
        <f>'Alt_diám tablas producc'!C9</f>
        <v>23.2</v>
      </c>
      <c r="D30" s="127">
        <f>'Alt_diám tablas producc'!D9</f>
        <v>18.600000000000001</v>
      </c>
      <c r="E30" s="23">
        <f>'Alt_diám tablas producc'!E9</f>
        <v>0.33158945736434114</v>
      </c>
      <c r="F30" s="50">
        <f>IF(C30&gt;32.5,1,0)</f>
        <v>0</v>
      </c>
      <c r="G30" s="51">
        <f>0.0403*POWER(C30,1.838)*POWER(D30,0.945)</f>
        <v>206.42471547351968</v>
      </c>
      <c r="H30" s="51"/>
      <c r="I30" s="51">
        <f>0.228*POWER((C30-32.5),2)*F30</f>
        <v>0</v>
      </c>
      <c r="J30" s="51">
        <f>0.0521*POWER(C30,2)</f>
        <v>28.042304000000001</v>
      </c>
      <c r="K30" s="51">
        <f>0.072*POWER(C30,2)</f>
        <v>38.753279999999997</v>
      </c>
      <c r="L30" s="51"/>
      <c r="M30" s="51"/>
      <c r="N30" s="51"/>
      <c r="O30" s="51">
        <f t="shared" si="0"/>
        <v>273.22029947351967</v>
      </c>
      <c r="P30" s="51">
        <f>0.0189*POWER(C30,2.445)</f>
        <v>41.217336819578954</v>
      </c>
      <c r="Q30" s="41">
        <f t="shared" si="1"/>
        <v>314.43763629309865</v>
      </c>
      <c r="R30" s="23">
        <f t="shared" si="7"/>
        <v>0.57646899987068079</v>
      </c>
      <c r="S30" s="130">
        <f t="shared" si="8"/>
        <v>-0.73850219621811708</v>
      </c>
    </row>
    <row r="31" spans="1:27" x14ac:dyDescent="0.25">
      <c r="A31" s="112" t="s">
        <v>44</v>
      </c>
      <c r="B31" s="126">
        <v>35</v>
      </c>
      <c r="C31" s="127">
        <f>'Alt_diám tablas producc'!C10</f>
        <v>27.5</v>
      </c>
      <c r="D31" s="127">
        <f>'Alt_diám tablas producc'!D10</f>
        <v>21.3</v>
      </c>
      <c r="E31" s="23">
        <f>'Alt_diám tablas producc'!E10</f>
        <v>0.60059647999999999</v>
      </c>
      <c r="F31" s="50">
        <f>IF(C31&gt;32.5,1,0)</f>
        <v>0</v>
      </c>
      <c r="G31" s="51">
        <f>0.0403*POWER(C31,1.838)*POWER(D31,0.945)</f>
        <v>320.71351572946998</v>
      </c>
      <c r="H31" s="51"/>
      <c r="I31" s="51">
        <f>0.228*POWER((C31-32.5),2)*F31</f>
        <v>0</v>
      </c>
      <c r="J31" s="51">
        <f>0.0521*POWER(C31,2)</f>
        <v>39.400624999999998</v>
      </c>
      <c r="K31" s="51">
        <f>0.072*POWER(C31,2)</f>
        <v>54.449999999999996</v>
      </c>
      <c r="L31" s="51"/>
      <c r="M31" s="51"/>
      <c r="N31" s="51"/>
      <c r="O31" s="51">
        <f t="shared" si="0"/>
        <v>414.56414072946995</v>
      </c>
      <c r="P31" s="51">
        <f>0.0189*POWER(C31,2.445)</f>
        <v>62.464064570141886</v>
      </c>
      <c r="Q31" s="41">
        <f t="shared" si="1"/>
        <v>477.02820529961184</v>
      </c>
      <c r="R31" s="23">
        <f t="shared" si="7"/>
        <v>0.87455170971595497</v>
      </c>
      <c r="S31" s="130">
        <f t="shared" si="8"/>
        <v>-0.45613858695268245</v>
      </c>
    </row>
    <row r="32" spans="1:27" x14ac:dyDescent="0.25">
      <c r="A32" s="112" t="s">
        <v>44</v>
      </c>
      <c r="B32" s="126">
        <v>40</v>
      </c>
      <c r="C32" s="127">
        <f>'Alt_diám tablas producc'!C11</f>
        <v>31.5</v>
      </c>
      <c r="D32" s="127">
        <f>'Alt_diám tablas producc'!D11</f>
        <v>23.6</v>
      </c>
      <c r="E32" s="23">
        <f>'Alt_diám tablas producc'!E11</f>
        <v>1.0273610884353743</v>
      </c>
      <c r="F32" s="50">
        <f>IF(C32&gt;32.5,1,0)</f>
        <v>0</v>
      </c>
      <c r="G32" s="51">
        <f>0.0403*POWER(C32,1.838)*POWER(D32,0.945)</f>
        <v>453.52547495493997</v>
      </c>
      <c r="H32" s="51"/>
      <c r="I32" s="51">
        <f>0.228*POWER((C32-32.5),2)*F32</f>
        <v>0</v>
      </c>
      <c r="J32" s="51">
        <f>0.0521*POWER(C32,2)</f>
        <v>51.696224999999998</v>
      </c>
      <c r="K32" s="51">
        <f>0.072*POWER(C32,2)</f>
        <v>71.441999999999993</v>
      </c>
      <c r="L32" s="51"/>
      <c r="M32" s="51"/>
      <c r="N32" s="51"/>
      <c r="O32" s="51">
        <f t="shared" si="0"/>
        <v>576.66369995493994</v>
      </c>
      <c r="P32" s="51">
        <f>0.0189*POWER(C32,2.445)</f>
        <v>87.062494872163896</v>
      </c>
      <c r="Q32" s="41">
        <f t="shared" si="1"/>
        <v>663.72619482710388</v>
      </c>
      <c r="R32" s="23">
        <f t="shared" si="7"/>
        <v>1.2168313571830238</v>
      </c>
      <c r="S32" s="130">
        <f t="shared" si="8"/>
        <v>-0.1844242213185282</v>
      </c>
    </row>
    <row r="33" spans="1:19" x14ac:dyDescent="0.25">
      <c r="A33" s="112" t="s">
        <v>109</v>
      </c>
      <c r="B33" s="126">
        <v>20</v>
      </c>
      <c r="C33" s="127">
        <f>'Alt_diám tablas producc'!C17</f>
        <v>13.799999999999999</v>
      </c>
      <c r="D33" s="127">
        <f>'Alt_diám tablas producc'!D17</f>
        <v>8</v>
      </c>
      <c r="E33" s="23">
        <f>'Alt_diám tablas producc'!E17</f>
        <v>5.2605758333333329E-2</v>
      </c>
      <c r="F33" s="50"/>
      <c r="G33" s="51">
        <f>0.0278*POWER(C33,2.115)*POWER(D33,0.618)</f>
        <v>25.882050224023033</v>
      </c>
      <c r="H33" s="51"/>
      <c r="I33" s="51">
        <f>0.000381*POWER(C33,3.141)</f>
        <v>1.4497235239975363</v>
      </c>
      <c r="J33" s="51"/>
      <c r="K33" s="51">
        <f>0.0129*POWER(C33,2.32)</f>
        <v>5.6899597039369612</v>
      </c>
      <c r="L33" s="51"/>
      <c r="M33" s="51"/>
      <c r="N33" s="51"/>
      <c r="O33" s="51">
        <f t="shared" si="0"/>
        <v>33.02173345195753</v>
      </c>
      <c r="P33" s="51">
        <f>0.00444*POWER(C33,2.804)</f>
        <v>6.9759591436466053</v>
      </c>
      <c r="Q33" s="41">
        <f t="shared" si="1"/>
        <v>39.997692595604136</v>
      </c>
      <c r="R33" s="23">
        <f t="shared" si="7"/>
        <v>7.332910309194092E-2</v>
      </c>
      <c r="S33" s="130">
        <f t="shared" si="8"/>
        <v>-0.39393681253096519</v>
      </c>
    </row>
    <row r="34" spans="1:19" x14ac:dyDescent="0.25">
      <c r="A34" s="112" t="s">
        <v>109</v>
      </c>
      <c r="B34" s="126">
        <v>25</v>
      </c>
      <c r="C34" s="127">
        <f>'Alt_diám tablas producc'!C18</f>
        <v>17.25</v>
      </c>
      <c r="D34" s="127">
        <f>'Alt_diám tablas producc'!D18</f>
        <v>10</v>
      </c>
      <c r="E34" s="23">
        <f>'Alt_diám tablas producc'!E18</f>
        <v>0.16128329479166664</v>
      </c>
      <c r="F34" s="50"/>
      <c r="G34" s="51">
        <f>0.0278*POWER(C34,2.115)*POWER(D34,0.618)</f>
        <v>47.62705645344267</v>
      </c>
      <c r="H34" s="51"/>
      <c r="I34" s="51">
        <f>0.000381*POWER(C34,3.141)</f>
        <v>2.9219954606658156</v>
      </c>
      <c r="J34" s="51"/>
      <c r="K34" s="51">
        <f>0.0129*POWER(C34,2.32)</f>
        <v>9.5486158350805557</v>
      </c>
      <c r="L34" s="51"/>
      <c r="M34" s="51"/>
      <c r="N34" s="51"/>
      <c r="O34" s="51">
        <f t="shared" si="0"/>
        <v>60.097667749189043</v>
      </c>
      <c r="P34" s="51">
        <f>0.00444*POWER(C34,2.804)</f>
        <v>13.041862131158249</v>
      </c>
      <c r="Q34" s="41">
        <f t="shared" si="1"/>
        <v>73.139529880347297</v>
      </c>
      <c r="R34" s="23">
        <f t="shared" si="7"/>
        <v>0.13408913811397005</v>
      </c>
      <c r="S34" s="130">
        <f t="shared" si="8"/>
        <v>0.16861111817453822</v>
      </c>
    </row>
    <row r="35" spans="1:19" x14ac:dyDescent="0.25">
      <c r="A35" s="112" t="s">
        <v>109</v>
      </c>
      <c r="B35" s="126">
        <v>30</v>
      </c>
      <c r="C35" s="127">
        <f>'Alt_diám tablas producc'!C19</f>
        <v>20.7</v>
      </c>
      <c r="D35" s="127">
        <f>'Alt_diám tablas producc'!D19</f>
        <v>12</v>
      </c>
      <c r="E35" s="23">
        <f>'Alt_diám tablas producc'!E19</f>
        <v>0.25679117535903251</v>
      </c>
      <c r="F35" s="50"/>
      <c r="G35" s="51">
        <f>0.0278*POWER(C35,2.115)*POWER(D35,0.618)</f>
        <v>78.389173707645256</v>
      </c>
      <c r="H35" s="51"/>
      <c r="I35" s="51">
        <f>0.000381*POWER(C35,3.141)</f>
        <v>5.180692681945505</v>
      </c>
      <c r="J35" s="51"/>
      <c r="K35" s="51">
        <f>0.0129*POWER(C35,2.32)</f>
        <v>14.576085656077154</v>
      </c>
      <c r="L35" s="51"/>
      <c r="M35" s="51"/>
      <c r="N35" s="51"/>
      <c r="O35" s="51">
        <f t="shared" ref="O35:O61" si="9">G35+H35+I35+J35+K35+L35+M35</f>
        <v>98.145952045667912</v>
      </c>
      <c r="P35" s="51">
        <f>0.00444*POWER(C35,2.804)</f>
        <v>21.745220647051354</v>
      </c>
      <c r="Q35" s="41">
        <f t="shared" ref="Q35:Q61" si="10">O35+P35</f>
        <v>119.89117269271927</v>
      </c>
      <c r="R35" s="23">
        <f t="shared" si="7"/>
        <v>0.2198004832699853</v>
      </c>
      <c r="S35" s="130">
        <f t="shared" si="8"/>
        <v>0.14404970123030389</v>
      </c>
    </row>
    <row r="36" spans="1:19" x14ac:dyDescent="0.25">
      <c r="A36" s="112" t="s">
        <v>109</v>
      </c>
      <c r="B36" s="126">
        <v>35</v>
      </c>
      <c r="C36" s="127">
        <f>'Alt_diám tablas producc'!C20</f>
        <v>24.15</v>
      </c>
      <c r="D36" s="127">
        <f>'Alt_diám tablas producc'!D20</f>
        <v>14</v>
      </c>
      <c r="E36" s="23">
        <f>'Alt_diám tablas producc'!E20</f>
        <v>0.44083236770833328</v>
      </c>
      <c r="F36" s="50"/>
      <c r="G36" s="51">
        <f>0.0278*POWER(C36,2.115)*POWER(D36,0.618)</f>
        <v>119.45976681681928</v>
      </c>
      <c r="H36" s="51"/>
      <c r="I36" s="51">
        <f>0.000381*POWER(C36,3.141)</f>
        <v>8.4075158937193653</v>
      </c>
      <c r="J36" s="51"/>
      <c r="K36" s="51">
        <f>0.0129*POWER(C36,2.32)</f>
        <v>20.842867308770867</v>
      </c>
      <c r="L36" s="51"/>
      <c r="M36" s="51"/>
      <c r="N36" s="51"/>
      <c r="O36" s="51">
        <f t="shared" si="9"/>
        <v>148.71015001930951</v>
      </c>
      <c r="P36" s="51">
        <f>0.00444*POWER(C36,2.804)</f>
        <v>33.502916651278468</v>
      </c>
      <c r="Q36" s="41">
        <f t="shared" si="10"/>
        <v>182.21306667058798</v>
      </c>
      <c r="R36" s="23">
        <f t="shared" si="7"/>
        <v>0.334057288896078</v>
      </c>
      <c r="S36" s="130">
        <f t="shared" si="8"/>
        <v>0.24221242956211553</v>
      </c>
    </row>
    <row r="37" spans="1:19" x14ac:dyDescent="0.25">
      <c r="A37" s="112" t="s">
        <v>109</v>
      </c>
      <c r="B37" s="126">
        <v>40</v>
      </c>
      <c r="C37" s="127">
        <f>'Alt_diám tablas producc'!C21</f>
        <v>26.1</v>
      </c>
      <c r="D37" s="127">
        <f>'Alt_diám tablas producc'!D21</f>
        <v>16</v>
      </c>
      <c r="E37" s="23">
        <f>'Alt_diám tablas producc'!E21</f>
        <v>0.51828333333333332</v>
      </c>
      <c r="F37" s="50"/>
      <c r="G37" s="51">
        <f>0.0278*POWER(C37,2.115)*POWER(D37,0.618)</f>
        <v>152.89230151501533</v>
      </c>
      <c r="H37" s="51"/>
      <c r="I37" s="51">
        <f>0.000381*POWER(C37,3.141)</f>
        <v>10.729829210083331</v>
      </c>
      <c r="J37" s="51"/>
      <c r="K37" s="51">
        <f>0.0129*POWER(C37,2.32)</f>
        <v>24.957190114617095</v>
      </c>
      <c r="L37" s="51"/>
      <c r="M37" s="51"/>
      <c r="N37" s="51"/>
      <c r="O37" s="51">
        <f t="shared" si="9"/>
        <v>188.57932083971576</v>
      </c>
      <c r="P37" s="51">
        <f>0.00444*POWER(C37,2.804)</f>
        <v>41.652680273178056</v>
      </c>
      <c r="Q37" s="41">
        <f t="shared" si="10"/>
        <v>230.23200111289381</v>
      </c>
      <c r="R37" s="23">
        <f t="shared" si="7"/>
        <v>0.42209200204030534</v>
      </c>
      <c r="S37" s="130">
        <f t="shared" si="8"/>
        <v>0.18559603426638194</v>
      </c>
    </row>
    <row r="38" spans="1:19" hidden="1" x14ac:dyDescent="0.25">
      <c r="A38" s="52" t="s">
        <v>178</v>
      </c>
      <c r="B38" s="121"/>
      <c r="C38" s="6"/>
      <c r="D38" s="6"/>
      <c r="E38" s="6"/>
      <c r="F38" s="50"/>
      <c r="G38" s="51">
        <f>0.3882+0.0115*POWER(C38,2)*D38</f>
        <v>0.38819999999999999</v>
      </c>
      <c r="H38" s="51" t="e">
        <f>0.0369*POWER(C38,2.0983)*POWER((3.1416*POWER(C38/2,2)),-0.0551)</f>
        <v>#DIV/0!</v>
      </c>
      <c r="I38" s="51">
        <f>3.2019-0.0148*POWER(C38,2)-0.4228*D38+0.0028*POWER(C38,2)*D38</f>
        <v>3.2019000000000002</v>
      </c>
      <c r="J38" s="51"/>
      <c r="K38" s="51" t="e">
        <f>0.0978*POWER(C38,2.2881)*POWER(D38,-0.9648)+0.0271*POWER(C38,2.5098)*POWER(D38,-0.6949)</f>
        <v>#DIV/0!</v>
      </c>
      <c r="L38" s="51"/>
      <c r="M38" s="51"/>
      <c r="N38" s="51"/>
      <c r="O38" s="51" t="e">
        <f t="shared" si="9"/>
        <v>#DIV/0!</v>
      </c>
      <c r="P38" s="51">
        <f>0.0019*POWER(C38,2.1537)</f>
        <v>0</v>
      </c>
      <c r="Q38" s="41" t="e">
        <f t="shared" si="10"/>
        <v>#DIV/0!</v>
      </c>
      <c r="R38" s="58" t="e">
        <f>#REF!*0.5*44/12</f>
        <v>#REF!</v>
      </c>
    </row>
    <row r="39" spans="1:19" hidden="1" x14ac:dyDescent="0.25">
      <c r="A39" s="52" t="s">
        <v>46</v>
      </c>
      <c r="B39" s="121"/>
      <c r="C39" s="6"/>
      <c r="D39" s="6"/>
      <c r="E39" s="6"/>
      <c r="F39" s="50">
        <f>IF(C39&gt;22.5,1,0)</f>
        <v>0</v>
      </c>
      <c r="G39" s="51">
        <f>0.0224*POWER(C39,1.923)*POWER(D39,1.0193)</f>
        <v>0</v>
      </c>
      <c r="H39" s="51"/>
      <c r="I39" s="51">
        <f>0.247*POWER((C39-22.5),2)*F39</f>
        <v>0</v>
      </c>
      <c r="J39" s="51">
        <f>0.0525*POWER(C39,2)</f>
        <v>0</v>
      </c>
      <c r="K39" s="51">
        <f>21.927+0.0707*POWER(C39,2)-2.827*D39</f>
        <v>21.927</v>
      </c>
      <c r="L39" s="51"/>
      <c r="M39" s="51"/>
      <c r="N39" s="51"/>
      <c r="O39" s="51">
        <f t="shared" si="9"/>
        <v>21.927</v>
      </c>
      <c r="P39" s="51">
        <f>0.117*POWER(C39,2)</f>
        <v>0</v>
      </c>
      <c r="Q39" s="41">
        <f t="shared" si="10"/>
        <v>21.927</v>
      </c>
      <c r="R39" s="58" t="e">
        <f>#REF!*0.5*44/12</f>
        <v>#REF!</v>
      </c>
    </row>
    <row r="40" spans="1:19" x14ac:dyDescent="0.25">
      <c r="A40" s="112" t="s">
        <v>47</v>
      </c>
      <c r="B40" s="126">
        <v>20</v>
      </c>
      <c r="C40" s="127">
        <f>'Alt_diám tablas producc'!C12</f>
        <v>29.8</v>
      </c>
      <c r="D40" s="127">
        <f>'Alt_diám tablas producc'!D12</f>
        <v>24.3</v>
      </c>
      <c r="E40" s="23">
        <f>'Alt_diám tablas producc'!E12</f>
        <v>0.70054311808118064</v>
      </c>
      <c r="F40" s="50"/>
      <c r="G40" s="51">
        <f>0.0123*POWER(C40,1.6042)*POWER(D40,1.4131)</f>
        <v>258.72778322006741</v>
      </c>
      <c r="H40" s="51">
        <f>0.0036*POWER(C40,2.6564)</f>
        <v>29.67635684643702</v>
      </c>
      <c r="I40" s="51">
        <f>1.937699+0.001065*POWER(C40,2)*D40</f>
        <v>24.919730179999998</v>
      </c>
      <c r="J40" s="51"/>
      <c r="K40" s="51">
        <f>0.0363*POWER(C40,2.6091)*POWER(D40,-0.9417)+0.0423*POWER(C40,1.7141)</f>
        <v>26.864549158670716</v>
      </c>
      <c r="L40" s="51"/>
      <c r="M40" s="51"/>
      <c r="N40" s="51"/>
      <c r="O40" s="51">
        <f t="shared" si="9"/>
        <v>340.18841940517518</v>
      </c>
      <c r="P40" s="51">
        <f>0.0078*POWER(C40,1.9606)</f>
        <v>6.0595867884487751</v>
      </c>
      <c r="Q40" s="41">
        <f t="shared" si="10"/>
        <v>346.24800619362395</v>
      </c>
      <c r="R40" s="23">
        <f t="shared" ref="R40:R49" si="11">(Q40*0.5*44/12)/1000</f>
        <v>0.6347880113549772</v>
      </c>
      <c r="S40" s="130">
        <f t="shared" ref="S40:S49" si="12">(E40-R40)/E40</f>
        <v>9.3863040017165042E-2</v>
      </c>
    </row>
    <row r="41" spans="1:19" x14ac:dyDescent="0.25">
      <c r="A41" s="112" t="s">
        <v>47</v>
      </c>
      <c r="B41" s="126">
        <v>25</v>
      </c>
      <c r="C41" s="127">
        <f>'Alt_diám tablas producc'!C13</f>
        <v>35.5</v>
      </c>
      <c r="D41" s="127">
        <f>'Alt_diám tablas producc'!D13</f>
        <v>28.2</v>
      </c>
      <c r="E41" s="23">
        <f>'Alt_diám tablas producc'!E13</f>
        <v>1.1394439598997494</v>
      </c>
      <c r="F41" s="50"/>
      <c r="G41" s="51">
        <f>0.0123*POWER(C41,1.6042)*POWER(D41,1.4131)</f>
        <v>422.7936445724248</v>
      </c>
      <c r="H41" s="51">
        <f>0.0036*POWER(C41,2.6564)</f>
        <v>47.242089475370882</v>
      </c>
      <c r="I41" s="51">
        <f>1.937699+0.001065*POWER(C41,2)*D41</f>
        <v>39.786787250000003</v>
      </c>
      <c r="J41" s="51"/>
      <c r="K41" s="51">
        <f>0.0363*POWER(C41,2.6091)*POWER(D41,-0.9417)+0.0423*POWER(C41,1.7141)</f>
        <v>36.546989549849158</v>
      </c>
      <c r="L41" s="51"/>
      <c r="M41" s="51"/>
      <c r="N41" s="51"/>
      <c r="O41" s="51">
        <f t="shared" si="9"/>
        <v>546.36951084764485</v>
      </c>
      <c r="P41" s="51">
        <f>0.0078*POWER(C41,1.9606)</f>
        <v>8.5402839736782283</v>
      </c>
      <c r="Q41" s="41">
        <f t="shared" si="10"/>
        <v>554.90979482132309</v>
      </c>
      <c r="R41" s="23">
        <f t="shared" si="11"/>
        <v>1.0173346238390923</v>
      </c>
      <c r="S41" s="130">
        <f t="shared" si="12"/>
        <v>0.1071657232457492</v>
      </c>
    </row>
    <row r="42" spans="1:19" x14ac:dyDescent="0.25">
      <c r="A42" s="112" t="s">
        <v>47</v>
      </c>
      <c r="B42" s="126">
        <v>30</v>
      </c>
      <c r="C42" s="127">
        <f>'Alt_diám tablas producc'!C14</f>
        <v>40.200000000000003</v>
      </c>
      <c r="D42" s="127">
        <f>'Alt_diám tablas producc'!D14</f>
        <v>31.2</v>
      </c>
      <c r="E42" s="23">
        <f>'Alt_diám tablas producc'!E14</f>
        <v>1.6093192675159234</v>
      </c>
      <c r="F42" s="50"/>
      <c r="G42" s="51">
        <f>0.0123*POWER(C42,1.6042)*POWER(D42,1.4131)</f>
        <v>595.38022053314432</v>
      </c>
      <c r="H42" s="51">
        <f>0.0036*POWER(C42,2.6564)</f>
        <v>65.73075007445982</v>
      </c>
      <c r="I42" s="51">
        <f>1.937699+0.001065*POWER(C42,2)*D42</f>
        <v>55.635476120000007</v>
      </c>
      <c r="J42" s="51"/>
      <c r="K42" s="51">
        <f>0.0363*POWER(C42,2.6091)*POWER(D42,-0.9417)+0.0423*POWER(C42,1.7141)</f>
        <v>45.575844021204773</v>
      </c>
      <c r="L42" s="51"/>
      <c r="M42" s="51"/>
      <c r="N42" s="51"/>
      <c r="O42" s="51">
        <f t="shared" si="9"/>
        <v>762.32229074880888</v>
      </c>
      <c r="P42" s="51">
        <f>0.0078*POWER(C42,1.9606)</f>
        <v>10.897834353564187</v>
      </c>
      <c r="Q42" s="41">
        <f t="shared" si="10"/>
        <v>773.22012510237312</v>
      </c>
      <c r="R42" s="23">
        <f t="shared" si="11"/>
        <v>1.4175702293543506</v>
      </c>
      <c r="S42" s="130">
        <f t="shared" si="12"/>
        <v>0.11914915954343129</v>
      </c>
    </row>
    <row r="43" spans="1:19" x14ac:dyDescent="0.25">
      <c r="A43" s="112" t="s">
        <v>47</v>
      </c>
      <c r="B43" s="126">
        <v>35</v>
      </c>
      <c r="C43" s="127">
        <f>'Alt_diám tablas producc'!C15</f>
        <v>44.6</v>
      </c>
      <c r="D43" s="127">
        <f>'Alt_diám tablas producc'!D15</f>
        <v>33.700000000000003</v>
      </c>
      <c r="E43" s="23">
        <f>'Alt_diám tablas producc'!E15</f>
        <v>2.1289793669250643</v>
      </c>
      <c r="F43" s="50"/>
      <c r="G43" s="51">
        <f>0.0123*POWER(C43,1.6042)*POWER(D43,1.4131)</f>
        <v>784.26332212556929</v>
      </c>
      <c r="H43" s="51">
        <f>0.0036*POWER(C43,2.6564)</f>
        <v>86.61550053790215</v>
      </c>
      <c r="I43" s="51">
        <f>1.937699+0.001065*POWER(C43,2)*D43</f>
        <v>73.329645980000009</v>
      </c>
      <c r="J43" s="51"/>
      <c r="K43" s="51">
        <f>0.0363*POWER(C43,2.6091)*POWER(D43,-0.9417)+0.0423*POWER(C43,1.7141)</f>
        <v>54.993412543547663</v>
      </c>
      <c r="L43" s="51"/>
      <c r="M43" s="51"/>
      <c r="N43" s="51"/>
      <c r="O43" s="51">
        <f t="shared" si="9"/>
        <v>999.20188118701913</v>
      </c>
      <c r="P43" s="51">
        <f>0.0078*POWER(C43,1.9606)</f>
        <v>13.359202306382379</v>
      </c>
      <c r="Q43" s="41">
        <f t="shared" si="10"/>
        <v>1012.5610834934015</v>
      </c>
      <c r="R43" s="23">
        <f t="shared" si="11"/>
        <v>1.8563619864045695</v>
      </c>
      <c r="S43" s="130">
        <f t="shared" si="12"/>
        <v>0.12805073865710712</v>
      </c>
    </row>
    <row r="44" spans="1:19" x14ac:dyDescent="0.25">
      <c r="A44" s="112" t="s">
        <v>47</v>
      </c>
      <c r="B44" s="126">
        <v>40</v>
      </c>
      <c r="C44" s="127">
        <f>'Alt_diám tablas producc'!C16</f>
        <v>50.971428571428568</v>
      </c>
      <c r="D44" s="127">
        <f>'Alt_diám tablas producc'!D16</f>
        <v>38.51428571428572</v>
      </c>
      <c r="E44" s="23">
        <f>'Alt_diám tablas producc'!E16</f>
        <v>2.6825308766666667</v>
      </c>
      <c r="F44" s="50"/>
      <c r="G44" s="51">
        <f>0.0123*POWER(C44,1.6042)*POWER(D44,1.4131)</f>
        <v>1173.3862812635628</v>
      </c>
      <c r="H44" s="51">
        <f>0.0036*POWER(C44,2.6564)</f>
        <v>123.49387762646445</v>
      </c>
      <c r="I44" s="51">
        <f>1.937699+0.001065*POWER(C44,2)*D44</f>
        <v>108.50527000221574</v>
      </c>
      <c r="J44" s="51"/>
      <c r="K44" s="51">
        <f>0.0363*POWER(C44,2.6091)*POWER(D44,-0.9417)+0.0423*POWER(C44,1.7141)</f>
        <v>68.929895499010343</v>
      </c>
      <c r="L44" s="51"/>
      <c r="M44" s="51"/>
      <c r="N44" s="51"/>
      <c r="O44" s="51">
        <f t="shared" si="9"/>
        <v>1474.3153243912532</v>
      </c>
      <c r="P44" s="51">
        <f>0.0078*POWER(C44,1.9606)</f>
        <v>17.357194813643702</v>
      </c>
      <c r="Q44" s="41">
        <f t="shared" si="10"/>
        <v>1491.6725192048968</v>
      </c>
      <c r="R44" s="23">
        <f t="shared" si="11"/>
        <v>2.7347329518756447</v>
      </c>
      <c r="S44" s="130">
        <f t="shared" si="12"/>
        <v>-1.9460009076892607E-2</v>
      </c>
    </row>
    <row r="45" spans="1:19" x14ac:dyDescent="0.25">
      <c r="A45" s="112" t="s">
        <v>48</v>
      </c>
      <c r="B45" s="126">
        <v>20</v>
      </c>
      <c r="C45" s="127">
        <f>'Alt_diám tablas producc'!C22</f>
        <v>10.199999999999999</v>
      </c>
      <c r="D45" s="127">
        <f>'Alt_diám tablas producc'!D22</f>
        <v>8.8000000000000007</v>
      </c>
      <c r="E45" s="23">
        <f>'Alt_diám tablas producc'!E22</f>
        <v>4.3579036770583529E-2</v>
      </c>
      <c r="F45" s="50">
        <f>IF(C45&gt;37.5,1,0)</f>
        <v>0</v>
      </c>
      <c r="G45" s="51">
        <f>0.0154*POWER(C45,2)*D45</f>
        <v>14.0995008</v>
      </c>
      <c r="H45" s="51"/>
      <c r="I45" s="51">
        <f>(0.54*POWER((C45-37.5),2)-0.0119*POWER((C45-37.5),2)*D45)*F45</f>
        <v>0</v>
      </c>
      <c r="J45" s="51">
        <f>0.0295*POWER(C45,2.742)*POWER(D45,-0.899)</f>
        <v>2.4339618381482526</v>
      </c>
      <c r="K45" s="51">
        <f>0.53*POWER(C45,2.199)*POWER(D45,-1.153)</f>
        <v>7.1317995195170667</v>
      </c>
      <c r="L45" s="51"/>
      <c r="M45" s="51"/>
      <c r="N45" s="51"/>
      <c r="O45" s="51">
        <f t="shared" si="9"/>
        <v>23.665262157665317</v>
      </c>
      <c r="P45" s="51">
        <f>0.13*POWER(C45,2)</f>
        <v>13.5252</v>
      </c>
      <c r="Q45" s="41">
        <f t="shared" si="10"/>
        <v>37.190462157665316</v>
      </c>
      <c r="R45" s="23">
        <f t="shared" si="11"/>
        <v>6.818251395571974E-2</v>
      </c>
      <c r="S45" s="130">
        <f t="shared" si="12"/>
        <v>-0.56457138588579148</v>
      </c>
    </row>
    <row r="46" spans="1:19" x14ac:dyDescent="0.25">
      <c r="A46" s="112" t="s">
        <v>48</v>
      </c>
      <c r="B46" s="126">
        <v>25</v>
      </c>
      <c r="C46" s="127">
        <f>'Alt_diám tablas producc'!C23</f>
        <v>12.6</v>
      </c>
      <c r="D46" s="127">
        <f>'Alt_diám tablas producc'!D23</f>
        <v>12.4</v>
      </c>
      <c r="E46" s="23">
        <f>'Alt_diám tablas producc'!E23</f>
        <v>7.6699104716227012E-2</v>
      </c>
      <c r="F46" s="50">
        <f>IF(C46&gt;37.5,1,0)</f>
        <v>0</v>
      </c>
      <c r="G46" s="51">
        <f>0.0154*POWER(C46,2)*D46</f>
        <v>30.316809599999999</v>
      </c>
      <c r="H46" s="51"/>
      <c r="I46" s="51">
        <f>(0.54*POWER((C46-37.5),2)-0.0119*POWER((C46-37.5),2)*D46)*F46</f>
        <v>0</v>
      </c>
      <c r="J46" s="51">
        <f>0.0295*POWER(C46,2.742)*POWER(D46,-0.899)</f>
        <v>3.1919196895563884</v>
      </c>
      <c r="K46" s="51">
        <f>0.53*POWER(C46,2.199)*POWER(D46,-1.153)</f>
        <v>7.6432047761025776</v>
      </c>
      <c r="L46" s="51"/>
      <c r="M46" s="51"/>
      <c r="N46" s="51"/>
      <c r="O46" s="51">
        <f t="shared" si="9"/>
        <v>41.151934065658963</v>
      </c>
      <c r="P46" s="51">
        <f>0.13*POWER(C46,2)</f>
        <v>20.6388</v>
      </c>
      <c r="Q46" s="41">
        <f t="shared" si="10"/>
        <v>61.790734065658967</v>
      </c>
      <c r="R46" s="23">
        <f t="shared" si="11"/>
        <v>0.11328301245370812</v>
      </c>
      <c r="S46" s="130">
        <f t="shared" si="12"/>
        <v>-0.4769795928236063</v>
      </c>
    </row>
    <row r="47" spans="1:19" x14ac:dyDescent="0.25">
      <c r="A47" s="112" t="s">
        <v>48</v>
      </c>
      <c r="B47" s="126">
        <v>30</v>
      </c>
      <c r="C47" s="127">
        <f>'Alt_diám tablas producc'!C24</f>
        <v>17.899999999999999</v>
      </c>
      <c r="D47" s="127">
        <f>'Alt_diám tablas producc'!D24</f>
        <v>15.5</v>
      </c>
      <c r="E47" s="23">
        <f>'Alt_diám tablas producc'!E24</f>
        <v>0.24264071126760559</v>
      </c>
      <c r="F47" s="50">
        <f>IF(C47&gt;37.5,1,0)</f>
        <v>0</v>
      </c>
      <c r="G47" s="51">
        <f>0.0154*POWER(C47,2)*D47</f>
        <v>76.481866999999994</v>
      </c>
      <c r="H47" s="51"/>
      <c r="I47" s="51">
        <f>(0.54*POWER((C47-37.5),2)-0.0119*POWER((C47-37.5),2)*D47)*F47</f>
        <v>0</v>
      </c>
      <c r="J47" s="51">
        <f>0.0295*POWER(C47,2.742)*POWER(D47,-0.899)</f>
        <v>6.8396964875214232</v>
      </c>
      <c r="K47" s="51">
        <f>0.53*POWER(C47,2.199)*POWER(D47,-1.153)</f>
        <v>12.789313603898737</v>
      </c>
      <c r="L47" s="51"/>
      <c r="M47" s="51"/>
      <c r="N47" s="51"/>
      <c r="O47" s="51">
        <f t="shared" si="9"/>
        <v>96.11087709142015</v>
      </c>
      <c r="P47" s="51">
        <f>0.13*POWER(C47,2)</f>
        <v>41.653299999999994</v>
      </c>
      <c r="Q47" s="41">
        <f t="shared" si="10"/>
        <v>137.76417709142015</v>
      </c>
      <c r="R47" s="23">
        <f t="shared" si="11"/>
        <v>0.25256765800093695</v>
      </c>
      <c r="S47" s="130">
        <f t="shared" si="12"/>
        <v>-4.0912123449815672E-2</v>
      </c>
    </row>
    <row r="48" spans="1:19" x14ac:dyDescent="0.25">
      <c r="A48" s="112" t="s">
        <v>48</v>
      </c>
      <c r="B48" s="126">
        <v>35</v>
      </c>
      <c r="C48" s="127">
        <f>'Alt_diám tablas producc'!C25</f>
        <v>22.3</v>
      </c>
      <c r="D48" s="127">
        <f>'Alt_diám tablas producc'!D25</f>
        <v>18.100000000000001</v>
      </c>
      <c r="E48" s="23">
        <f>'Alt_diám tablas producc'!E25</f>
        <v>0.46189196952380951</v>
      </c>
      <c r="F48" s="50">
        <f>IF(C48&gt;37.5,1,0)</f>
        <v>0</v>
      </c>
      <c r="G48" s="51">
        <f>0.0154*POWER(C48,2)*D48</f>
        <v>138.61461460000001</v>
      </c>
      <c r="H48" s="51"/>
      <c r="I48" s="51">
        <f>(0.54*POWER((C48-37.5),2)-0.0119*POWER((C48-37.5),2)*D48)*F48</f>
        <v>0</v>
      </c>
      <c r="J48" s="51">
        <f>0.0295*POWER(C48,2.742)*POWER(D48,-0.899)</f>
        <v>10.869783940006917</v>
      </c>
      <c r="K48" s="51">
        <f>0.53*POWER(C48,2.199)*POWER(D48,-1.153)</f>
        <v>17.341827686037337</v>
      </c>
      <c r="L48" s="51"/>
      <c r="M48" s="51"/>
      <c r="N48" s="51"/>
      <c r="O48" s="51">
        <f t="shared" si="9"/>
        <v>166.82622622604427</v>
      </c>
      <c r="P48" s="51">
        <f>0.13*POWER(C48,2)</f>
        <v>64.6477</v>
      </c>
      <c r="Q48" s="41">
        <f t="shared" si="10"/>
        <v>231.47392622604428</v>
      </c>
      <c r="R48" s="23">
        <f t="shared" si="11"/>
        <v>0.42436886474774788</v>
      </c>
      <c r="S48" s="130">
        <f t="shared" si="12"/>
        <v>8.1237837528862683E-2</v>
      </c>
    </row>
    <row r="49" spans="1:19" x14ac:dyDescent="0.25">
      <c r="A49" s="112" t="s">
        <v>48</v>
      </c>
      <c r="B49" s="126">
        <v>40</v>
      </c>
      <c r="C49" s="127">
        <f>'Alt_diám tablas producc'!C26</f>
        <v>26.1</v>
      </c>
      <c r="D49" s="127">
        <f>'Alt_diám tablas producc'!D26</f>
        <v>20.399999999999999</v>
      </c>
      <c r="E49" s="23">
        <f>'Alt_diám tablas producc'!E26</f>
        <v>0.70229562051282046</v>
      </c>
      <c r="F49" s="50">
        <f>IF(C49&gt;37.5,1,0)</f>
        <v>0</v>
      </c>
      <c r="G49" s="51">
        <f>0.0154*POWER(C49,2)*D49</f>
        <v>214.00893359999998</v>
      </c>
      <c r="H49" s="51"/>
      <c r="I49" s="51">
        <f>(0.54*POWER((C49-37.5),2)-0.0119*POWER((C49-37.5),2)*D49)*F49</f>
        <v>0</v>
      </c>
      <c r="J49" s="51">
        <f>0.0295*POWER(C49,2.742)*POWER(D49,-0.899)</f>
        <v>15.027708650130664</v>
      </c>
      <c r="K49" s="51">
        <f>0.53*POWER(C49,2.199)*POWER(D49,-1.153)</f>
        <v>21.353288226163549</v>
      </c>
      <c r="L49" s="51"/>
      <c r="M49" s="51"/>
      <c r="N49" s="51"/>
      <c r="O49" s="51">
        <f t="shared" si="9"/>
        <v>250.38993047629421</v>
      </c>
      <c r="P49" s="51">
        <f>0.13*POWER(C49,2)</f>
        <v>88.557300000000012</v>
      </c>
      <c r="Q49" s="41">
        <f t="shared" si="10"/>
        <v>338.94723047629424</v>
      </c>
      <c r="R49" s="23">
        <f t="shared" si="11"/>
        <v>0.62140325587320611</v>
      </c>
      <c r="S49" s="130">
        <f t="shared" si="12"/>
        <v>0.11518278382619881</v>
      </c>
    </row>
    <row r="50" spans="1:19" hidden="1" x14ac:dyDescent="0.25">
      <c r="A50" s="52" t="s">
        <v>49</v>
      </c>
      <c r="B50" s="121"/>
      <c r="C50" s="6"/>
      <c r="D50" s="6"/>
      <c r="E50" s="6"/>
      <c r="F50" s="50"/>
      <c r="G50" s="51">
        <f>0.0203*POWER(C50,2)*D50</f>
        <v>0</v>
      </c>
      <c r="H50" s="51"/>
      <c r="I50" s="51">
        <f>0.0379*POWER(C50,2)</f>
        <v>0</v>
      </c>
      <c r="J50" s="51"/>
      <c r="K50" s="51">
        <f>2.74*C50-2.64*D50</f>
        <v>0</v>
      </c>
      <c r="L50" s="51"/>
      <c r="M50" s="51"/>
      <c r="N50" s="51"/>
      <c r="O50" s="51">
        <f t="shared" si="9"/>
        <v>0</v>
      </c>
      <c r="P50" s="51">
        <f>0.193*POWER(C50,2)</f>
        <v>0</v>
      </c>
      <c r="Q50" s="41">
        <f t="shared" si="10"/>
        <v>0</v>
      </c>
      <c r="R50" s="58" t="e">
        <f>#REF!*0.5*44/12</f>
        <v>#REF!</v>
      </c>
    </row>
    <row r="51" spans="1:19" hidden="1" x14ac:dyDescent="0.25">
      <c r="A51" s="52" t="s">
        <v>179</v>
      </c>
      <c r="B51" s="121"/>
      <c r="C51" s="6"/>
      <c r="D51" s="6"/>
      <c r="E51" s="6"/>
      <c r="F51" s="50">
        <f>IF(C51&gt;22.5,1,0)</f>
        <v>0</v>
      </c>
      <c r="G51" s="51">
        <f>0.013*POWER(C51,2)*D51</f>
        <v>0</v>
      </c>
      <c r="H51" s="51"/>
      <c r="I51" s="51">
        <f>(0.538*POWER((C51-22.5),2)-0.013*POWER((C51-22.5),2)*D51)*F51</f>
        <v>0</v>
      </c>
      <c r="J51" s="51">
        <f>0.0385*POWER(C51,2)</f>
        <v>0</v>
      </c>
      <c r="K51" s="51">
        <f>0.0774*POWER(C51,2)-0.00198*POWER(C51,2)*D51</f>
        <v>0</v>
      </c>
      <c r="L51" s="51"/>
      <c r="M51" s="51"/>
      <c r="N51" s="51"/>
      <c r="O51" s="51">
        <f t="shared" si="9"/>
        <v>0</v>
      </c>
      <c r="P51" s="51">
        <f>0.122*POWER(C51,2)</f>
        <v>0</v>
      </c>
      <c r="Q51" s="41">
        <f t="shared" si="10"/>
        <v>0</v>
      </c>
      <c r="R51" s="58" t="e">
        <f>#REF!*0.5*44/12</f>
        <v>#REF!</v>
      </c>
    </row>
    <row r="52" spans="1:19" hidden="1" x14ac:dyDescent="0.25">
      <c r="A52" s="52" t="s">
        <v>180</v>
      </c>
      <c r="B52" s="121"/>
      <c r="C52" s="6"/>
      <c r="D52" s="6"/>
      <c r="E52" s="6"/>
      <c r="F52" s="50"/>
      <c r="G52" s="51">
        <f>0.0126*POWER(C52,2)*D52</f>
        <v>0</v>
      </c>
      <c r="H52" s="51"/>
      <c r="I52" s="51">
        <f>0.103*POWER(C52,2)</f>
        <v>0</v>
      </c>
      <c r="J52" s="51">
        <f>0.167*C52*D52</f>
        <v>0</v>
      </c>
      <c r="K52" s="51"/>
      <c r="L52" s="51"/>
      <c r="M52" s="51"/>
      <c r="N52" s="51"/>
      <c r="O52" s="51">
        <f t="shared" si="9"/>
        <v>0</v>
      </c>
      <c r="P52" s="51">
        <f>0.135*POWER(C52,2)</f>
        <v>0</v>
      </c>
      <c r="Q52" s="41">
        <f t="shared" si="10"/>
        <v>0</v>
      </c>
      <c r="R52" s="58" t="e">
        <f>#REF!*0.5*44/12</f>
        <v>#REF!</v>
      </c>
    </row>
    <row r="53" spans="1:19" hidden="1" x14ac:dyDescent="0.25">
      <c r="A53" s="52" t="s">
        <v>57</v>
      </c>
      <c r="B53" s="121"/>
      <c r="C53" s="6"/>
      <c r="D53" s="6"/>
      <c r="E53" s="6"/>
      <c r="F53" s="50"/>
      <c r="G53" s="51">
        <f>0.154*POWER(C53,2)</f>
        <v>0</v>
      </c>
      <c r="H53" s="51"/>
      <c r="I53" s="51">
        <f>0.0861*POWER(C53,2)</f>
        <v>0</v>
      </c>
      <c r="J53" s="51">
        <f>0.127*POWER(C53,2)-0.00598*POWER(C53,2)*D53</f>
        <v>0</v>
      </c>
      <c r="K53" s="51">
        <f>0.0726*POWER(C53,2)-0.00275*POWER(C53,2)*D53</f>
        <v>0</v>
      </c>
      <c r="L53" s="51"/>
      <c r="M53" s="51"/>
      <c r="N53" s="51"/>
      <c r="O53" s="51">
        <f t="shared" si="9"/>
        <v>0</v>
      </c>
      <c r="P53" s="51">
        <f>0.169*POWER(C53,2)</f>
        <v>0</v>
      </c>
      <c r="Q53" s="41">
        <f t="shared" si="10"/>
        <v>0</v>
      </c>
      <c r="R53" s="58" t="e">
        <f>#REF!*0.5*44/12</f>
        <v>#REF!</v>
      </c>
    </row>
    <row r="54" spans="1:19" hidden="1" x14ac:dyDescent="0.25">
      <c r="A54" s="52" t="s">
        <v>58</v>
      </c>
      <c r="B54" s="121"/>
      <c r="C54" s="6"/>
      <c r="D54" s="6"/>
      <c r="E54" s="6"/>
      <c r="F54" s="50">
        <f>IF(C54&gt;12.5,1,0)</f>
        <v>0</v>
      </c>
      <c r="G54" s="51">
        <f>0.143*POWER(C54,2)</f>
        <v>0</v>
      </c>
      <c r="H54" s="51"/>
      <c r="I54" s="51">
        <f>(0.0684*POWER((C54-12.5),2)*D54)*F54</f>
        <v>0</v>
      </c>
      <c r="J54" s="51">
        <f>0.0898*POWER(C54,2)</f>
        <v>0</v>
      </c>
      <c r="K54" s="51">
        <f>0.0823*POWER(C54,2)</f>
        <v>0</v>
      </c>
      <c r="L54" s="51"/>
      <c r="M54" s="51"/>
      <c r="N54" s="51"/>
      <c r="O54" s="51">
        <f t="shared" si="9"/>
        <v>0</v>
      </c>
      <c r="P54" s="51">
        <f>0.254*POWER(C54,2)</f>
        <v>0</v>
      </c>
      <c r="Q54" s="41">
        <f t="shared" si="10"/>
        <v>0</v>
      </c>
      <c r="R54" s="58" t="e">
        <f>#REF!*0.5*44/12</f>
        <v>#REF!</v>
      </c>
    </row>
    <row r="55" spans="1:19" hidden="1" x14ac:dyDescent="0.25">
      <c r="A55" s="52" t="s">
        <v>61</v>
      </c>
      <c r="B55" s="121"/>
      <c r="C55" s="6"/>
      <c r="D55" s="6"/>
      <c r="E55" s="6"/>
      <c r="F55" s="50"/>
      <c r="G55" s="51">
        <f>0.0261*POWER(C55,2)*D55</f>
        <v>0</v>
      </c>
      <c r="H55" s="51"/>
      <c r="I55" s="51"/>
      <c r="J55" s="51">
        <f>-0.026*POWER(C55,2)+0.536*D55+0.00538*POWER(C55,2)*D55</f>
        <v>0</v>
      </c>
      <c r="K55" s="51">
        <f>0.898*C55-0.445*D55</f>
        <v>0</v>
      </c>
      <c r="L55" s="51"/>
      <c r="M55" s="51"/>
      <c r="N55" s="51"/>
      <c r="O55" s="51">
        <f t="shared" si="9"/>
        <v>0</v>
      </c>
      <c r="P55" s="51">
        <f>0.143*POWER(C55,2)</f>
        <v>0</v>
      </c>
      <c r="Q55" s="41">
        <f t="shared" si="10"/>
        <v>0</v>
      </c>
      <c r="R55" s="58" t="e">
        <f>#REF!*0.5*44/12</f>
        <v>#REF!</v>
      </c>
    </row>
    <row r="56" spans="1:19" x14ac:dyDescent="0.25">
      <c r="A56" s="112" t="s">
        <v>62</v>
      </c>
      <c r="B56" s="126">
        <v>20</v>
      </c>
      <c r="C56" s="127">
        <f>'Alt_diám tablas producc'!C44</f>
        <v>7</v>
      </c>
      <c r="D56" s="127">
        <f>'Alt_diám tablas producc'!D44</f>
        <v>10.199999999999999</v>
      </c>
      <c r="E56" s="23">
        <f>'Alt_diám tablas producc'!E44</f>
        <v>2.4741729460580914E-2</v>
      </c>
      <c r="F56" s="50"/>
      <c r="G56" s="51">
        <f>-5.714+0.018*POWER(C56,2)*D56</f>
        <v>3.2823999999999973</v>
      </c>
      <c r="H56" s="51">
        <f>-1.5+0.032*POWER(C56,2)+0.001*POWER(C56,2)*D56</f>
        <v>0.56780000000000008</v>
      </c>
      <c r="I56" s="51">
        <f>0.000000003427*POWER((C56*C56*D56),2.31)</f>
        <v>5.8766989866151096E-3</v>
      </c>
      <c r="J56" s="51">
        <f>4.268+0.003*POWER(C56,2)*D56</f>
        <v>5.7673999999999994</v>
      </c>
      <c r="K56" s="51">
        <f>0.039*POWER(C56,1.784)</f>
        <v>1.2552190172091917</v>
      </c>
      <c r="L56" s="51">
        <f>0.02*POWER((C56*C56*D56),0.737)</f>
        <v>1.9500369168868172</v>
      </c>
      <c r="M56" s="51"/>
      <c r="N56" s="51"/>
      <c r="O56" s="51">
        <f t="shared" si="9"/>
        <v>12.828732633082621</v>
      </c>
      <c r="P56" s="51">
        <f>0.0851*POWER(C56,2.151)</f>
        <v>5.5941672207829445</v>
      </c>
      <c r="Q56" s="41">
        <f t="shared" si="10"/>
        <v>18.422899853865566</v>
      </c>
      <c r="R56" s="23">
        <f>(Q56*0.5*44/12)/1000</f>
        <v>3.3775316398753537E-2</v>
      </c>
      <c r="S56" s="130">
        <f>(E56-R56)/E56</f>
        <v>-0.3651154197836145</v>
      </c>
    </row>
    <row r="57" spans="1:19" x14ac:dyDescent="0.25">
      <c r="A57" s="112" t="s">
        <v>62</v>
      </c>
      <c r="B57" s="126">
        <v>25</v>
      </c>
      <c r="C57" s="127">
        <f>'Alt_diám tablas producc'!C45</f>
        <v>8.5</v>
      </c>
      <c r="D57" s="127">
        <f>'Alt_diám tablas producc'!D45</f>
        <v>12.5</v>
      </c>
      <c r="E57" s="23">
        <f>'Alt_diám tablas producc'!E45</f>
        <v>4.2108132132132131E-2</v>
      </c>
      <c r="F57" s="50"/>
      <c r="G57" s="51">
        <f>-5.714+0.018*POWER(C57,2)*D57</f>
        <v>10.542250000000001</v>
      </c>
      <c r="H57" s="51">
        <f>-1.5+0.032*POWER(C57,2)+0.001*POWER(C57,2)*D57</f>
        <v>1.7151249999999998</v>
      </c>
      <c r="I57" s="51">
        <f>0.000000003427*POWER((C57*C57*D57),2.31)</f>
        <v>2.3051100875626555E-2</v>
      </c>
      <c r="J57" s="51">
        <f>4.268+0.003*POWER(C57,2)*D57</f>
        <v>6.9773750000000003</v>
      </c>
      <c r="K57" s="51">
        <f>0.039*POWER(C57,1.784)</f>
        <v>1.7747940762638998</v>
      </c>
      <c r="L57" s="51">
        <f>0.02*POWER((C57*C57*D57),0.737)</f>
        <v>3.0158946839477068</v>
      </c>
      <c r="M57" s="51"/>
      <c r="N57" s="51"/>
      <c r="O57" s="51">
        <f t="shared" si="9"/>
        <v>24.048489861087234</v>
      </c>
      <c r="P57" s="51">
        <f>0.0851*POWER(C57,2.151)</f>
        <v>8.4939493961824297</v>
      </c>
      <c r="Q57" s="41">
        <f t="shared" si="10"/>
        <v>32.542439257269663</v>
      </c>
      <c r="R57" s="23">
        <f>(Q57*0.5*44/12)/1000</f>
        <v>5.9661138638327713E-2</v>
      </c>
      <c r="S57" s="130">
        <f>(E57-R57)/E57</f>
        <v>-0.41685550076445033</v>
      </c>
    </row>
    <row r="58" spans="1:19" x14ac:dyDescent="0.25">
      <c r="A58" s="112" t="s">
        <v>62</v>
      </c>
      <c r="B58" s="126">
        <v>30</v>
      </c>
      <c r="C58" s="127">
        <f>'Alt_diám tablas producc'!C46</f>
        <v>11.2</v>
      </c>
      <c r="D58" s="127">
        <f>'Alt_diám tablas producc'!D46</f>
        <v>14.6</v>
      </c>
      <c r="E58" s="23">
        <f>'Alt_diám tablas producc'!E46</f>
        <v>9.8011439904799699E-2</v>
      </c>
      <c r="F58" s="50"/>
      <c r="G58" s="51">
        <f>-5.714+0.018*POWER(C58,2)*D58</f>
        <v>27.251631999999994</v>
      </c>
      <c r="H58" s="51">
        <f>-1.5+0.032*POWER(C58,2)+0.001*POWER(C58,2)*D58</f>
        <v>4.345504</v>
      </c>
      <c r="I58" s="51">
        <f>0.000000003427*POWER((C58*C58*D58),2.31)</f>
        <v>0.11802023254448073</v>
      </c>
      <c r="J58" s="51">
        <f>4.268+0.003*POWER(C58,2)*D58</f>
        <v>9.7622719999999994</v>
      </c>
      <c r="K58" s="51">
        <f>0.039*POWER(C58,1.784)</f>
        <v>2.903150561014844</v>
      </c>
      <c r="L58" s="51">
        <f>0.02*POWER((C58*C58*D58),0.737)</f>
        <v>5.0781487224146167</v>
      </c>
      <c r="M58" s="51"/>
      <c r="N58" s="51"/>
      <c r="O58" s="51">
        <f t="shared" si="9"/>
        <v>49.458727515973933</v>
      </c>
      <c r="P58" s="51">
        <f>0.0851*POWER(C58,2.151)</f>
        <v>15.374377018085481</v>
      </c>
      <c r="Q58" s="41">
        <f t="shared" si="10"/>
        <v>64.833104534059416</v>
      </c>
      <c r="R58" s="23">
        <f>(Q58*0.5*44/12)/1000</f>
        <v>0.1188606916457756</v>
      </c>
      <c r="S58" s="130">
        <f>(E58-R58)/E58</f>
        <v>-0.21272263483963877</v>
      </c>
    </row>
    <row r="59" spans="1:19" x14ac:dyDescent="0.25">
      <c r="A59" s="112" t="s">
        <v>62</v>
      </c>
      <c r="B59" s="126">
        <v>35</v>
      </c>
      <c r="C59" s="127">
        <f>'Alt_diám tablas producc'!C47</f>
        <v>14.3</v>
      </c>
      <c r="D59" s="127">
        <f>'Alt_diám tablas producc'!D47</f>
        <v>16.600000000000001</v>
      </c>
      <c r="E59" s="23">
        <f>'Alt_diám tablas producc'!E47</f>
        <v>0.2209103448275862</v>
      </c>
      <c r="F59" s="50"/>
      <c r="G59" s="51">
        <f>-5.714+0.018*POWER(C59,2)*D59</f>
        <v>55.387612000000004</v>
      </c>
      <c r="H59" s="51">
        <f>-1.5+0.032*POWER(C59,2)+0.001*POWER(C59,2)*D59</f>
        <v>8.4382140000000003</v>
      </c>
      <c r="I59" s="51">
        <f>0.000000003427*POWER((C59*C59*D59),2.31)</f>
        <v>0.49092627971921143</v>
      </c>
      <c r="J59" s="51">
        <f>4.268+0.003*POWER(C59,2)*D59</f>
        <v>14.451602000000001</v>
      </c>
      <c r="K59" s="51">
        <f>0.039*POWER(C59,1.784)</f>
        <v>4.4893565387532153</v>
      </c>
      <c r="L59" s="51">
        <f>0.02*POWER((C59*C59*D59),0.737)</f>
        <v>8.0023027097734047</v>
      </c>
      <c r="M59" s="51"/>
      <c r="N59" s="51"/>
      <c r="O59" s="51">
        <f t="shared" si="9"/>
        <v>91.26001352824585</v>
      </c>
      <c r="P59" s="51">
        <f>0.0851*POWER(C59,2.151)</f>
        <v>26.005031050795303</v>
      </c>
      <c r="Q59" s="41">
        <f t="shared" si="10"/>
        <v>117.26504457904116</v>
      </c>
      <c r="R59" s="23">
        <f>(Q59*0.5*44/12)/1000</f>
        <v>0.21498591506157547</v>
      </c>
      <c r="S59" s="130">
        <f>(E59-R59)/E59</f>
        <v>2.6818254123113033E-2</v>
      </c>
    </row>
    <row r="60" spans="1:19" x14ac:dyDescent="0.25">
      <c r="A60" s="112" t="s">
        <v>62</v>
      </c>
      <c r="B60" s="126">
        <v>40</v>
      </c>
      <c r="C60" s="127">
        <f>'Alt_diám tablas producc'!C48</f>
        <v>17.5</v>
      </c>
      <c r="D60" s="127">
        <f>'Alt_diám tablas producc'!D48</f>
        <v>18.3</v>
      </c>
      <c r="E60" s="23">
        <f>'Alt_diám tablas producc'!E48</f>
        <v>0.4726752487309645</v>
      </c>
      <c r="F60" s="50"/>
      <c r="G60" s="51">
        <f>-5.714+0.018*POWER(C60,2)*D60</f>
        <v>95.164749999999998</v>
      </c>
      <c r="H60" s="51">
        <f>-1.5+0.032*POWER(C60,2)+0.001*POWER(C60,2)*D60</f>
        <v>13.904375000000002</v>
      </c>
      <c r="I60" s="51">
        <f>0.000000003427*POWER((C60*C60*D60),2.31)</f>
        <v>1.5631904985573402</v>
      </c>
      <c r="J60" s="51">
        <f>4.268+0.003*POWER(C60,2)*D60</f>
        <v>21.081125000000004</v>
      </c>
      <c r="K60" s="51">
        <f>0.039*POWER(C60,1.784)</f>
        <v>6.4364216335672948</v>
      </c>
      <c r="L60" s="51">
        <f>0.02*POWER((C60*C60*D60),0.737)</f>
        <v>11.579625995484184</v>
      </c>
      <c r="M60" s="51"/>
      <c r="N60" s="51"/>
      <c r="O60" s="51">
        <f t="shared" si="9"/>
        <v>149.72948812760885</v>
      </c>
      <c r="P60" s="51">
        <f>0.0851*POWER(C60,2.151)</f>
        <v>40.151742992843147</v>
      </c>
      <c r="Q60" s="41">
        <f t="shared" si="10"/>
        <v>189.88123112045199</v>
      </c>
      <c r="R60" s="23">
        <f>(Q60*0.5*44/12)/1000</f>
        <v>0.34811559038749534</v>
      </c>
      <c r="S60" s="130">
        <f>(E60-R60)/E60</f>
        <v>0.26352058559843389</v>
      </c>
    </row>
    <row r="61" spans="1:19" hidden="1" x14ac:dyDescent="0.25">
      <c r="A61" s="52" t="s">
        <v>106</v>
      </c>
      <c r="B61" s="121"/>
      <c r="C61" s="6"/>
      <c r="D61" s="6"/>
      <c r="E61" s="6"/>
      <c r="F61" s="50"/>
      <c r="G61" s="51">
        <f>0.00525*POWER(C61,2)*D61+0.278*C61*D61</f>
        <v>0</v>
      </c>
      <c r="H61" s="51"/>
      <c r="I61" s="51">
        <f>0.0135*POWER(C61,2)*D61</f>
        <v>0</v>
      </c>
      <c r="J61" s="51">
        <f>0.127*C61*D61</f>
        <v>0</v>
      </c>
      <c r="K61" s="51">
        <f>0.0463*C61*D61</f>
        <v>0</v>
      </c>
      <c r="L61" s="51"/>
      <c r="M61" s="51"/>
      <c r="N61" s="51"/>
      <c r="O61" s="51">
        <f t="shared" si="9"/>
        <v>0</v>
      </c>
      <c r="P61" s="51">
        <f>0.0829*POWER(C61,2)</f>
        <v>0</v>
      </c>
      <c r="Q61" s="41">
        <f t="shared" si="10"/>
        <v>0</v>
      </c>
      <c r="R61" s="58" t="e">
        <f>#REF!*0.5*44/12</f>
        <v>#REF!</v>
      </c>
    </row>
    <row r="62" spans="1:19" hidden="1" x14ac:dyDescent="0.25">
      <c r="R62"/>
    </row>
    <row r="63" spans="1:19" hidden="1" x14ac:dyDescent="0.25">
      <c r="R63"/>
    </row>
    <row r="64" spans="1:19" hidden="1" x14ac:dyDescent="0.25">
      <c r="A64" t="s">
        <v>236</v>
      </c>
      <c r="R64"/>
    </row>
    <row r="65" spans="1:18" x14ac:dyDescent="0.25">
      <c r="R65"/>
    </row>
    <row r="66" spans="1:18" x14ac:dyDescent="0.25">
      <c r="A66" s="132" t="s">
        <v>241</v>
      </c>
    </row>
    <row r="67" spans="1:18" x14ac:dyDescent="0.25">
      <c r="A67" s="131"/>
    </row>
    <row r="68" spans="1:18" x14ac:dyDescent="0.25">
      <c r="A68" s="117" t="s">
        <v>43</v>
      </c>
      <c r="B68" s="123"/>
    </row>
    <row r="69" spans="1:18" x14ac:dyDescent="0.25">
      <c r="A69" s="118" t="s">
        <v>44</v>
      </c>
      <c r="B69" s="124"/>
    </row>
    <row r="70" spans="1:18" x14ac:dyDescent="0.25">
      <c r="A70" s="117" t="s">
        <v>47</v>
      </c>
      <c r="B70" s="123"/>
    </row>
    <row r="71" spans="1:18" x14ac:dyDescent="0.25">
      <c r="A71" s="117" t="s">
        <v>237</v>
      </c>
      <c r="B71" s="123"/>
    </row>
    <row r="72" spans="1:18" x14ac:dyDescent="0.25">
      <c r="A72" s="117" t="s">
        <v>48</v>
      </c>
      <c r="B72" s="123"/>
    </row>
    <row r="73" spans="1:18" x14ac:dyDescent="0.25">
      <c r="A73" s="117" t="s">
        <v>194</v>
      </c>
      <c r="B73" s="123"/>
    </row>
    <row r="74" spans="1:18" x14ac:dyDescent="0.25">
      <c r="A74" s="117" t="s">
        <v>195</v>
      </c>
      <c r="B74" s="123"/>
    </row>
    <row r="75" spans="1:18" x14ac:dyDescent="0.25">
      <c r="A75" s="117" t="s">
        <v>24</v>
      </c>
      <c r="B75" s="123"/>
    </row>
    <row r="76" spans="1:18" x14ac:dyDescent="0.25">
      <c r="A76" s="117" t="s">
        <v>97</v>
      </c>
      <c r="B76" s="123"/>
    </row>
    <row r="77" spans="1:18" x14ac:dyDescent="0.25">
      <c r="A77" s="117" t="s">
        <v>196</v>
      </c>
      <c r="B77" s="123"/>
    </row>
    <row r="78" spans="1:18" x14ac:dyDescent="0.25">
      <c r="A78" s="119"/>
      <c r="B78" s="125"/>
    </row>
  </sheetData>
  <autoFilter ref="A2:R64">
    <filterColumn colId="1">
      <customFilters and="1">
        <customFilter operator="notEqual" val=" "/>
      </customFilters>
    </filterColumn>
  </autoFilter>
  <mergeCells count="3">
    <mergeCell ref="A1:E1"/>
    <mergeCell ref="F1:R1"/>
    <mergeCell ref="S1:S2"/>
  </mergeCells>
  <phoneticPr fontId="75" type="noConversion"/>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topLeftCell="A46" workbookViewId="0">
      <selection activeCell="H95" activeCellId="1" sqref="I29 H95"/>
    </sheetView>
  </sheetViews>
  <sheetFormatPr baseColWidth="10" defaultRowHeight="15" x14ac:dyDescent="0.25"/>
  <cols>
    <col min="1" max="1" width="30.7109375" bestFit="1" customWidth="1"/>
    <col min="2" max="2" width="14.85546875" bestFit="1" customWidth="1"/>
    <col min="5" max="5" width="11" bestFit="1" customWidth="1"/>
  </cols>
  <sheetData>
    <row r="1" spans="1:5" ht="48" x14ac:dyDescent="0.25">
      <c r="A1" s="42" t="s">
        <v>93</v>
      </c>
      <c r="B1" s="42" t="s">
        <v>190</v>
      </c>
      <c r="C1" s="42" t="s">
        <v>191</v>
      </c>
      <c r="D1" s="61" t="s">
        <v>192</v>
      </c>
      <c r="E1" s="98" t="s">
        <v>223</v>
      </c>
    </row>
    <row r="2" spans="1:5" x14ac:dyDescent="0.25">
      <c r="A2" s="59" t="s">
        <v>43</v>
      </c>
      <c r="B2" s="60">
        <v>20</v>
      </c>
      <c r="C2" s="62">
        <v>3.2</v>
      </c>
      <c r="D2" s="62">
        <v>4.7</v>
      </c>
      <c r="E2" s="99">
        <v>0</v>
      </c>
    </row>
    <row r="3" spans="1:5" x14ac:dyDescent="0.25">
      <c r="A3" s="59" t="s">
        <v>43</v>
      </c>
      <c r="B3" s="100">
        <v>25</v>
      </c>
      <c r="C3" s="62">
        <v>5.9</v>
      </c>
      <c r="D3" s="62">
        <v>5.8</v>
      </c>
      <c r="E3" s="101">
        <v>5.7257669413919412E-3</v>
      </c>
    </row>
    <row r="4" spans="1:5" x14ac:dyDescent="0.25">
      <c r="A4" s="102" t="s">
        <v>43</v>
      </c>
      <c r="B4" s="103">
        <v>30</v>
      </c>
      <c r="C4" s="104">
        <v>8.6999999999999993</v>
      </c>
      <c r="D4" s="104">
        <v>6.9</v>
      </c>
      <c r="E4" s="99">
        <v>1.6673433333333335E-2</v>
      </c>
    </row>
    <row r="5" spans="1:5" x14ac:dyDescent="0.25">
      <c r="A5" s="59" t="s">
        <v>43</v>
      </c>
      <c r="B5" s="105">
        <v>35</v>
      </c>
      <c r="C5" s="62">
        <v>11.4</v>
      </c>
      <c r="D5" s="62">
        <v>7.9</v>
      </c>
      <c r="E5" s="106">
        <v>3.6539242599000384E-2</v>
      </c>
    </row>
    <row r="6" spans="1:5" x14ac:dyDescent="0.25">
      <c r="A6" s="59" t="s">
        <v>43</v>
      </c>
      <c r="B6" s="60">
        <v>40</v>
      </c>
      <c r="C6" s="62">
        <v>14.1</v>
      </c>
      <c r="D6" s="62">
        <v>9</v>
      </c>
      <c r="E6" s="99">
        <v>7.085028328611899E-2</v>
      </c>
    </row>
    <row r="7" spans="1:5" x14ac:dyDescent="0.25">
      <c r="A7" s="63" t="s">
        <v>44</v>
      </c>
      <c r="B7" s="64">
        <v>20</v>
      </c>
      <c r="C7" s="65">
        <v>14.6</v>
      </c>
      <c r="D7" s="65">
        <v>12.5</v>
      </c>
      <c r="E7" s="107">
        <v>5.106013626430133E-2</v>
      </c>
    </row>
    <row r="8" spans="1:5" x14ac:dyDescent="0.25">
      <c r="A8" s="63" t="s">
        <v>44</v>
      </c>
      <c r="B8" s="64">
        <v>25</v>
      </c>
      <c r="C8" s="65">
        <v>18.899999999999999</v>
      </c>
      <c r="D8" s="65">
        <v>15.7</v>
      </c>
      <c r="E8" s="107">
        <v>0.1640738859845656</v>
      </c>
    </row>
    <row r="9" spans="1:5" x14ac:dyDescent="0.25">
      <c r="A9" s="63" t="s">
        <v>44</v>
      </c>
      <c r="B9" s="64">
        <v>30</v>
      </c>
      <c r="C9" s="65">
        <v>23.2</v>
      </c>
      <c r="D9" s="65">
        <v>18.600000000000001</v>
      </c>
      <c r="E9" s="107">
        <v>0.33158945736434114</v>
      </c>
    </row>
    <row r="10" spans="1:5" x14ac:dyDescent="0.25">
      <c r="A10" s="63" t="s">
        <v>44</v>
      </c>
      <c r="B10" s="64">
        <v>35</v>
      </c>
      <c r="C10" s="65">
        <v>27.5</v>
      </c>
      <c r="D10" s="65">
        <v>21.3</v>
      </c>
      <c r="E10" s="107">
        <v>0.60059647999999999</v>
      </c>
    </row>
    <row r="11" spans="1:5" x14ac:dyDescent="0.25">
      <c r="A11" s="59" t="s">
        <v>44</v>
      </c>
      <c r="B11" s="100">
        <v>40</v>
      </c>
      <c r="C11" s="62">
        <v>31.5</v>
      </c>
      <c r="D11" s="62">
        <v>23.6</v>
      </c>
      <c r="E11" s="108">
        <v>1.0273610884353743</v>
      </c>
    </row>
    <row r="12" spans="1:5" x14ac:dyDescent="0.25">
      <c r="A12" s="59" t="s">
        <v>47</v>
      </c>
      <c r="B12" s="60">
        <v>20</v>
      </c>
      <c r="C12" s="62">
        <v>29.8</v>
      </c>
      <c r="D12" s="62">
        <v>24.3</v>
      </c>
      <c r="E12" s="109">
        <v>0.70054311808118064</v>
      </c>
    </row>
    <row r="13" spans="1:5" x14ac:dyDescent="0.25">
      <c r="A13" s="59" t="s">
        <v>47</v>
      </c>
      <c r="B13" s="60">
        <v>25</v>
      </c>
      <c r="C13" s="62">
        <v>35.5</v>
      </c>
      <c r="D13" s="62">
        <v>28.2</v>
      </c>
      <c r="E13" s="109">
        <v>1.1394439598997494</v>
      </c>
    </row>
    <row r="14" spans="1:5" x14ac:dyDescent="0.25">
      <c r="A14" s="59" t="s">
        <v>47</v>
      </c>
      <c r="B14" s="60">
        <v>30</v>
      </c>
      <c r="C14" s="62">
        <v>40.200000000000003</v>
      </c>
      <c r="D14" s="62">
        <v>31.2</v>
      </c>
      <c r="E14" s="109">
        <v>1.6093192675159234</v>
      </c>
    </row>
    <row r="15" spans="1:5" x14ac:dyDescent="0.25">
      <c r="A15" s="59" t="s">
        <v>47</v>
      </c>
      <c r="B15" s="60">
        <v>35</v>
      </c>
      <c r="C15" s="62">
        <v>44.6</v>
      </c>
      <c r="D15" s="62">
        <v>33.700000000000003</v>
      </c>
      <c r="E15" s="109">
        <v>2.1289793669250643</v>
      </c>
    </row>
    <row r="16" spans="1:5" x14ac:dyDescent="0.25">
      <c r="A16" s="59" t="s">
        <v>47</v>
      </c>
      <c r="B16" s="60">
        <v>40</v>
      </c>
      <c r="C16" s="110">
        <f>(C15/B15)*B16</f>
        <v>50.971428571428568</v>
      </c>
      <c r="D16" s="110">
        <f>(D15/B15)*B16</f>
        <v>38.51428571428572</v>
      </c>
      <c r="E16" s="109">
        <v>2.6825308766666667</v>
      </c>
    </row>
    <row r="17" spans="1:5" x14ac:dyDescent="0.25">
      <c r="A17" s="59" t="s">
        <v>193</v>
      </c>
      <c r="B17" s="60">
        <v>20</v>
      </c>
      <c r="C17" s="110">
        <f>(C19/B19)*B17</f>
        <v>13.799999999999999</v>
      </c>
      <c r="D17" s="110">
        <f>(D19/B19)*B17</f>
        <v>8</v>
      </c>
      <c r="E17" s="109">
        <v>5.2605758333333329E-2</v>
      </c>
    </row>
    <row r="18" spans="1:5" x14ac:dyDescent="0.25">
      <c r="A18" s="59" t="s">
        <v>193</v>
      </c>
      <c r="B18" s="60">
        <v>25</v>
      </c>
      <c r="C18" s="110">
        <f>(C19/B19)*B18</f>
        <v>17.25</v>
      </c>
      <c r="D18" s="110">
        <f>(D19/B19)*B18</f>
        <v>10</v>
      </c>
      <c r="E18" s="109">
        <v>0.16128329479166664</v>
      </c>
    </row>
    <row r="19" spans="1:5" x14ac:dyDescent="0.25">
      <c r="A19" s="59" t="s">
        <v>193</v>
      </c>
      <c r="B19" s="60">
        <v>30</v>
      </c>
      <c r="C19" s="62">
        <v>20.7</v>
      </c>
      <c r="D19" s="62">
        <v>12</v>
      </c>
      <c r="E19" s="109">
        <v>0.25679117535903251</v>
      </c>
    </row>
    <row r="20" spans="1:5" x14ac:dyDescent="0.25">
      <c r="A20" s="59" t="s">
        <v>193</v>
      </c>
      <c r="B20" s="60">
        <v>35</v>
      </c>
      <c r="C20" s="110">
        <f>(C19/B19)*B20</f>
        <v>24.15</v>
      </c>
      <c r="D20" s="110">
        <f>(D19/B19)*B20</f>
        <v>14</v>
      </c>
      <c r="E20" s="109">
        <v>0.44083236770833328</v>
      </c>
    </row>
    <row r="21" spans="1:5" x14ac:dyDescent="0.25">
      <c r="A21" s="59" t="s">
        <v>193</v>
      </c>
      <c r="B21" s="60">
        <v>40</v>
      </c>
      <c r="C21" s="62">
        <v>26.1</v>
      </c>
      <c r="D21" s="62">
        <v>16</v>
      </c>
      <c r="E21" s="109">
        <v>0.51828333333333332</v>
      </c>
    </row>
    <row r="22" spans="1:5" x14ac:dyDescent="0.25">
      <c r="A22" s="59" t="s">
        <v>48</v>
      </c>
      <c r="B22" s="60">
        <v>20</v>
      </c>
      <c r="C22" s="62">
        <v>10.199999999999999</v>
      </c>
      <c r="D22" s="62">
        <v>8.8000000000000007</v>
      </c>
      <c r="E22" s="109">
        <v>4.3579036770583529E-2</v>
      </c>
    </row>
    <row r="23" spans="1:5" x14ac:dyDescent="0.25">
      <c r="A23" s="59" t="s">
        <v>48</v>
      </c>
      <c r="B23" s="60">
        <v>25</v>
      </c>
      <c r="C23" s="62">
        <v>12.6</v>
      </c>
      <c r="D23" s="62">
        <v>12.4</v>
      </c>
      <c r="E23" s="109">
        <v>7.6699104716227012E-2</v>
      </c>
    </row>
    <row r="24" spans="1:5" x14ac:dyDescent="0.25">
      <c r="A24" s="59" t="s">
        <v>48</v>
      </c>
      <c r="B24" s="60">
        <v>30</v>
      </c>
      <c r="C24" s="62">
        <v>17.899999999999999</v>
      </c>
      <c r="D24" s="62">
        <v>15.5</v>
      </c>
      <c r="E24" s="109">
        <v>0.24264071126760559</v>
      </c>
    </row>
    <row r="25" spans="1:5" x14ac:dyDescent="0.25">
      <c r="A25" s="59" t="s">
        <v>48</v>
      </c>
      <c r="B25" s="60">
        <v>35</v>
      </c>
      <c r="C25" s="62">
        <v>22.3</v>
      </c>
      <c r="D25" s="62">
        <v>18.100000000000001</v>
      </c>
      <c r="E25" s="109">
        <v>0.46189196952380951</v>
      </c>
    </row>
    <row r="26" spans="1:5" x14ac:dyDescent="0.25">
      <c r="A26" s="59" t="s">
        <v>48</v>
      </c>
      <c r="B26" s="60">
        <v>40</v>
      </c>
      <c r="C26" s="62">
        <v>26.1</v>
      </c>
      <c r="D26" s="62">
        <v>20.399999999999999</v>
      </c>
      <c r="E26" s="109">
        <v>0.70229562051282046</v>
      </c>
    </row>
    <row r="27" spans="1:5" x14ac:dyDescent="0.25">
      <c r="A27" s="59" t="s">
        <v>194</v>
      </c>
      <c r="B27" s="60">
        <v>20</v>
      </c>
      <c r="C27" s="62">
        <v>16.7</v>
      </c>
      <c r="D27" s="62">
        <v>17.100000000000001</v>
      </c>
      <c r="E27" s="109">
        <v>0.20442394889663182</v>
      </c>
    </row>
    <row r="28" spans="1:5" x14ac:dyDescent="0.25">
      <c r="A28" s="59" t="s">
        <v>194</v>
      </c>
      <c r="B28" s="60">
        <v>25</v>
      </c>
      <c r="C28" s="62">
        <v>23.7</v>
      </c>
      <c r="D28" s="62">
        <v>21.3</v>
      </c>
      <c r="E28" s="109">
        <v>0.7784333333333332</v>
      </c>
    </row>
    <row r="29" spans="1:5" x14ac:dyDescent="0.25">
      <c r="A29" s="59" t="s">
        <v>194</v>
      </c>
      <c r="B29" s="60">
        <v>30</v>
      </c>
      <c r="C29" s="62">
        <v>31.3</v>
      </c>
      <c r="D29" s="62">
        <v>25</v>
      </c>
      <c r="E29" s="109">
        <v>2.0562097959183672</v>
      </c>
    </row>
    <row r="30" spans="1:5" x14ac:dyDescent="0.25">
      <c r="A30" s="59" t="s">
        <v>194</v>
      </c>
      <c r="B30" s="60">
        <v>35</v>
      </c>
      <c r="C30" s="62">
        <v>38.200000000000003</v>
      </c>
      <c r="D30" s="62">
        <v>28.2</v>
      </c>
      <c r="E30" s="109">
        <v>3.7919599811676079</v>
      </c>
    </row>
    <row r="31" spans="1:5" x14ac:dyDescent="0.25">
      <c r="A31" s="59" t="s">
        <v>194</v>
      </c>
      <c r="B31" s="60">
        <v>40</v>
      </c>
      <c r="C31" s="62">
        <v>44.4</v>
      </c>
      <c r="D31" s="62">
        <v>30.8</v>
      </c>
      <c r="E31" s="109">
        <v>5.7591194945848372</v>
      </c>
    </row>
    <row r="32" spans="1:5" x14ac:dyDescent="0.25">
      <c r="A32" s="59" t="s">
        <v>195</v>
      </c>
      <c r="B32" s="60">
        <v>20</v>
      </c>
      <c r="C32" s="62">
        <v>8</v>
      </c>
      <c r="D32" s="62">
        <v>9.5</v>
      </c>
      <c r="E32" s="109">
        <v>4.3707006369426753E-2</v>
      </c>
    </row>
    <row r="33" spans="1:5" x14ac:dyDescent="0.25">
      <c r="A33" s="59" t="s">
        <v>195</v>
      </c>
      <c r="B33" s="60">
        <v>25</v>
      </c>
      <c r="C33" s="62">
        <v>10</v>
      </c>
      <c r="D33" s="62">
        <v>11.4</v>
      </c>
      <c r="E33" s="109">
        <v>7.9045013883379617E-2</v>
      </c>
    </row>
    <row r="34" spans="1:5" x14ac:dyDescent="0.25">
      <c r="A34" s="59" t="s">
        <v>195</v>
      </c>
      <c r="B34" s="60">
        <v>30</v>
      </c>
      <c r="C34" s="62">
        <v>12</v>
      </c>
      <c r="D34" s="62">
        <v>13.2</v>
      </c>
      <c r="E34" s="109">
        <v>0.13044307692307691</v>
      </c>
    </row>
    <row r="35" spans="1:5" x14ac:dyDescent="0.25">
      <c r="A35" s="59" t="s">
        <v>195</v>
      </c>
      <c r="B35" s="60">
        <v>35</v>
      </c>
      <c r="C35" s="62">
        <v>14.2</v>
      </c>
      <c r="D35" s="62">
        <v>14.8</v>
      </c>
      <c r="E35" s="109">
        <v>0.2005983526734926</v>
      </c>
    </row>
    <row r="36" spans="1:5" x14ac:dyDescent="0.25">
      <c r="A36" s="59" t="s">
        <v>195</v>
      </c>
      <c r="B36" s="60">
        <v>40</v>
      </c>
      <c r="C36" s="62">
        <v>16.399999999999999</v>
      </c>
      <c r="D36" s="62">
        <v>16.399999999999999</v>
      </c>
      <c r="E36" s="109">
        <v>0.28954389370306183</v>
      </c>
    </row>
    <row r="37" spans="1:5" x14ac:dyDescent="0.25">
      <c r="A37" s="59" t="s">
        <v>24</v>
      </c>
      <c r="B37" s="60">
        <v>20</v>
      </c>
      <c r="C37" s="62">
        <v>6.1</v>
      </c>
      <c r="D37" s="62">
        <v>8.6</v>
      </c>
      <c r="E37" s="109">
        <v>1.5217287788533138E-2</v>
      </c>
    </row>
    <row r="38" spans="1:5" x14ac:dyDescent="0.25">
      <c r="A38" s="59" t="s">
        <v>24</v>
      </c>
      <c r="B38" s="60">
        <v>25</v>
      </c>
      <c r="C38" s="110">
        <f>(C37/B37)*B38</f>
        <v>7.625</v>
      </c>
      <c r="D38" s="110">
        <f>(D37/B37)*B38</f>
        <v>10.75</v>
      </c>
      <c r="E38" s="109">
        <v>7.1845487999999916E-2</v>
      </c>
    </row>
    <row r="39" spans="1:5" x14ac:dyDescent="0.25">
      <c r="A39" s="59" t="s">
        <v>24</v>
      </c>
      <c r="B39" s="60">
        <v>30</v>
      </c>
      <c r="C39" s="62">
        <v>11</v>
      </c>
      <c r="D39" s="62">
        <v>11.8</v>
      </c>
      <c r="E39" s="109">
        <v>8.4086478733031669E-2</v>
      </c>
    </row>
    <row r="40" spans="1:5" x14ac:dyDescent="0.25">
      <c r="A40" s="59" t="s">
        <v>24</v>
      </c>
      <c r="B40" s="60">
        <v>35</v>
      </c>
      <c r="C40" s="110">
        <f>(C39/B39)*B40</f>
        <v>12.833333333333332</v>
      </c>
      <c r="D40" s="110">
        <f>(D39/B39)*B40</f>
        <v>13.766666666666667</v>
      </c>
      <c r="E40" s="109">
        <v>0.25871283899999992</v>
      </c>
    </row>
    <row r="41" spans="1:5" x14ac:dyDescent="0.25">
      <c r="A41" s="59" t="s">
        <v>24</v>
      </c>
      <c r="B41" s="60">
        <v>40</v>
      </c>
      <c r="C41" s="62">
        <v>15.3</v>
      </c>
      <c r="D41" s="62">
        <v>14.5</v>
      </c>
      <c r="E41" s="109">
        <v>0.22629552729785765</v>
      </c>
    </row>
    <row r="42" spans="1:5" x14ac:dyDescent="0.25">
      <c r="A42" s="59" t="s">
        <v>97</v>
      </c>
      <c r="B42" s="60">
        <v>20</v>
      </c>
      <c r="C42" s="62">
        <v>18.600000000000001</v>
      </c>
      <c r="D42" s="62">
        <v>12.5</v>
      </c>
      <c r="E42" s="109">
        <v>0.31249777777777782</v>
      </c>
    </row>
    <row r="43" spans="1:5" x14ac:dyDescent="0.25">
      <c r="A43" s="59" t="s">
        <v>97</v>
      </c>
      <c r="B43" s="60">
        <v>25</v>
      </c>
      <c r="C43" s="62">
        <v>23.7</v>
      </c>
      <c r="D43" s="62">
        <v>15.1</v>
      </c>
      <c r="E43" s="109">
        <v>0.63104540084388194</v>
      </c>
    </row>
    <row r="44" spans="1:5" x14ac:dyDescent="0.25">
      <c r="A44" s="59" t="s">
        <v>196</v>
      </c>
      <c r="B44" s="60">
        <v>20</v>
      </c>
      <c r="C44" s="62">
        <v>7</v>
      </c>
      <c r="D44" s="62">
        <v>10.199999999999999</v>
      </c>
      <c r="E44" s="109">
        <v>2.4741729460580914E-2</v>
      </c>
    </row>
    <row r="45" spans="1:5" x14ac:dyDescent="0.25">
      <c r="A45" s="59" t="s">
        <v>196</v>
      </c>
      <c r="B45" s="60">
        <v>25</v>
      </c>
      <c r="C45" s="62">
        <v>8.5</v>
      </c>
      <c r="D45" s="62">
        <v>12.5</v>
      </c>
      <c r="E45" s="109">
        <v>4.2108132132132131E-2</v>
      </c>
    </row>
    <row r="46" spans="1:5" x14ac:dyDescent="0.25">
      <c r="A46" s="59" t="s">
        <v>196</v>
      </c>
      <c r="B46" s="60">
        <v>30</v>
      </c>
      <c r="C46" s="62">
        <v>11.2</v>
      </c>
      <c r="D46" s="62">
        <v>14.6</v>
      </c>
      <c r="E46" s="109">
        <v>9.8011439904799699E-2</v>
      </c>
    </row>
    <row r="47" spans="1:5" x14ac:dyDescent="0.25">
      <c r="A47" s="59" t="s">
        <v>196</v>
      </c>
      <c r="B47" s="60">
        <v>35</v>
      </c>
      <c r="C47" s="62">
        <v>14.3</v>
      </c>
      <c r="D47" s="62">
        <v>16.600000000000001</v>
      </c>
      <c r="E47" s="109">
        <v>0.2209103448275862</v>
      </c>
    </row>
    <row r="48" spans="1:5" x14ac:dyDescent="0.25">
      <c r="A48" s="59" t="s">
        <v>196</v>
      </c>
      <c r="B48" s="60">
        <v>40</v>
      </c>
      <c r="C48" s="62">
        <v>17.5</v>
      </c>
      <c r="D48" s="62">
        <v>18.3</v>
      </c>
      <c r="E48" s="109">
        <v>0.4726752487309645</v>
      </c>
    </row>
    <row r="51" spans="1:9" x14ac:dyDescent="0.25">
      <c r="E51" s="197">
        <v>20</v>
      </c>
      <c r="F51" s="198">
        <v>25</v>
      </c>
      <c r="G51" s="195">
        <v>30</v>
      </c>
      <c r="H51" s="194">
        <v>35</v>
      </c>
      <c r="I51" s="196">
        <v>40</v>
      </c>
    </row>
    <row r="52" spans="1:9" ht="48" x14ac:dyDescent="0.25">
      <c r="A52" s="29" t="s">
        <v>93</v>
      </c>
      <c r="B52" s="29" t="s">
        <v>299</v>
      </c>
      <c r="C52" s="191" t="s">
        <v>132</v>
      </c>
      <c r="D52" s="191" t="s">
        <v>133</v>
      </c>
      <c r="E52" s="18" t="s">
        <v>300</v>
      </c>
      <c r="F52" s="19" t="s">
        <v>300</v>
      </c>
      <c r="G52" s="20" t="s">
        <v>301</v>
      </c>
      <c r="H52" s="21" t="s">
        <v>301</v>
      </c>
      <c r="I52" s="22" t="s">
        <v>301</v>
      </c>
    </row>
    <row r="53" spans="1:9" x14ac:dyDescent="0.25">
      <c r="A53" s="199" t="s">
        <v>43</v>
      </c>
      <c r="B53" s="14" t="s">
        <v>302</v>
      </c>
      <c r="C53" s="14">
        <v>20</v>
      </c>
      <c r="D53" s="14">
        <v>160</v>
      </c>
      <c r="E53" s="25">
        <v>0</v>
      </c>
      <c r="F53" s="25">
        <v>1.3403926544766707E-3</v>
      </c>
      <c r="G53" s="25">
        <v>5.1384960369795715E-3</v>
      </c>
      <c r="H53" s="25">
        <v>8.7420961601187633E-3</v>
      </c>
      <c r="I53" s="25">
        <v>2.2566878937345609E-2</v>
      </c>
    </row>
    <row r="54" spans="1:9" x14ac:dyDescent="0.25">
      <c r="A54" s="192" t="s">
        <v>44</v>
      </c>
      <c r="B54" s="193" t="s">
        <v>94</v>
      </c>
      <c r="C54" s="193">
        <v>30</v>
      </c>
      <c r="D54" s="193">
        <v>150</v>
      </c>
      <c r="E54" s="25">
        <v>3.4157697129970299E-2</v>
      </c>
      <c r="F54" s="25">
        <v>4.2697121412462874E-2</v>
      </c>
      <c r="G54" s="25">
        <v>5.1236545694955449E-2</v>
      </c>
      <c r="H54" s="25">
        <v>0.10884537979242993</v>
      </c>
      <c r="I54" s="25">
        <v>0.12636076078387784</v>
      </c>
    </row>
    <row r="55" spans="1:9" x14ac:dyDescent="0.25">
      <c r="A55" s="200" t="s">
        <v>303</v>
      </c>
      <c r="B55" s="201" t="s">
        <v>304</v>
      </c>
      <c r="C55" s="201">
        <v>5</v>
      </c>
      <c r="D55" s="201">
        <v>44</v>
      </c>
      <c r="E55" s="202">
        <v>0.2327115308614556</v>
      </c>
      <c r="F55" s="202">
        <v>0.40856203182870365</v>
      </c>
      <c r="G55" s="202">
        <v>0.58249493630952376</v>
      </c>
      <c r="H55" s="202">
        <v>0.74304199720492636</v>
      </c>
      <c r="I55" s="202">
        <v>0.91206257563956428</v>
      </c>
    </row>
    <row r="56" spans="1:9" x14ac:dyDescent="0.25">
      <c r="A56" s="200" t="s">
        <v>303</v>
      </c>
      <c r="B56" s="201" t="s">
        <v>305</v>
      </c>
      <c r="C56" s="201">
        <v>6</v>
      </c>
      <c r="D56" s="201">
        <v>30</v>
      </c>
      <c r="E56" s="202">
        <v>0.32827964901620366</v>
      </c>
      <c r="F56" s="202">
        <v>0.53815745067959075</v>
      </c>
      <c r="G56" s="202">
        <v>0.69121584652967782</v>
      </c>
      <c r="H56" s="202">
        <v>0.80641848761795754</v>
      </c>
      <c r="I56" s="202">
        <v>0.92162112870623725</v>
      </c>
    </row>
    <row r="57" spans="1:9" x14ac:dyDescent="0.25">
      <c r="A57" s="200" t="s">
        <v>306</v>
      </c>
      <c r="B57" s="201" t="s">
        <v>307</v>
      </c>
      <c r="C57" s="201">
        <v>30</v>
      </c>
      <c r="D57" s="201">
        <v>120</v>
      </c>
      <c r="E57" s="202">
        <v>0.11982849020241199</v>
      </c>
      <c r="F57" s="202">
        <v>0.14978561275301497</v>
      </c>
      <c r="G57" s="202">
        <v>0.17974273530361798</v>
      </c>
      <c r="H57" s="202">
        <v>0.26196202857543643</v>
      </c>
      <c r="I57" s="202">
        <v>0.35801687535521448</v>
      </c>
    </row>
    <row r="58" spans="1:9" x14ac:dyDescent="0.25">
      <c r="A58" s="192" t="s">
        <v>47</v>
      </c>
      <c r="B58" s="193" t="s">
        <v>95</v>
      </c>
      <c r="C58" s="193">
        <v>10</v>
      </c>
      <c r="D58" s="193">
        <v>35</v>
      </c>
      <c r="E58" s="36">
        <v>0.4564333244723322</v>
      </c>
      <c r="F58" s="36">
        <v>0.78694276633853766</v>
      </c>
      <c r="G58" s="36">
        <v>1.1651157738742044</v>
      </c>
      <c r="H58" s="36">
        <v>1.5580231120134596</v>
      </c>
      <c r="I58" s="36">
        <v>1.7805978423010973</v>
      </c>
    </row>
    <row r="59" spans="1:9" x14ac:dyDescent="0.25">
      <c r="A59" s="200" t="s">
        <v>48</v>
      </c>
      <c r="B59" s="201" t="s">
        <v>307</v>
      </c>
      <c r="C59" s="201">
        <v>20</v>
      </c>
      <c r="D59" s="201">
        <v>180</v>
      </c>
      <c r="E59" s="202">
        <v>2.0214699176883854E-2</v>
      </c>
      <c r="F59" s="202">
        <v>5.0853708186201808E-2</v>
      </c>
      <c r="G59" s="202">
        <v>6.102444982344217E-2</v>
      </c>
      <c r="H59" s="202">
        <v>0.14704079816421481</v>
      </c>
      <c r="I59" s="202">
        <v>0.16804662647338833</v>
      </c>
    </row>
    <row r="60" spans="1:9" x14ac:dyDescent="0.25">
      <c r="A60" s="200" t="s">
        <v>48</v>
      </c>
      <c r="B60" s="201" t="s">
        <v>94</v>
      </c>
      <c r="C60" s="201">
        <v>30</v>
      </c>
      <c r="D60" s="201">
        <v>120</v>
      </c>
      <c r="E60" s="202">
        <v>3.1639288306640985E-2</v>
      </c>
      <c r="F60" s="202">
        <v>3.9549110383301236E-2</v>
      </c>
      <c r="G60" s="202">
        <v>4.7458932459961474E-2</v>
      </c>
      <c r="H60" s="202">
        <v>9.1964080011148003E-2</v>
      </c>
      <c r="I60" s="202">
        <v>0.10795822541769297</v>
      </c>
    </row>
    <row r="61" spans="1:9" x14ac:dyDescent="0.25">
      <c r="A61" s="200" t="s">
        <v>48</v>
      </c>
      <c r="B61" s="201" t="s">
        <v>96</v>
      </c>
      <c r="C61" s="201">
        <v>30</v>
      </c>
      <c r="D61" s="201">
        <v>120</v>
      </c>
      <c r="E61" s="202">
        <v>4.3635426256541009E-2</v>
      </c>
      <c r="F61" s="202">
        <v>5.4544282820676256E-2</v>
      </c>
      <c r="G61" s="202">
        <v>6.545313938481151E-2</v>
      </c>
      <c r="H61" s="202">
        <v>0.10950251840392226</v>
      </c>
      <c r="I61" s="202">
        <v>0.16625264941496601</v>
      </c>
    </row>
    <row r="62" spans="1:9" x14ac:dyDescent="0.25">
      <c r="A62" s="192" t="s">
        <v>194</v>
      </c>
      <c r="B62" s="193" t="s">
        <v>95</v>
      </c>
      <c r="C62" s="193">
        <v>10</v>
      </c>
      <c r="D62" s="193">
        <v>80</v>
      </c>
      <c r="E62" s="36">
        <v>9.4258843294660902E-2</v>
      </c>
      <c r="F62" s="36">
        <v>0.30790849982114088</v>
      </c>
      <c r="G62" s="36">
        <v>0.8734257643674681</v>
      </c>
      <c r="H62" s="36">
        <v>1.7375634073374004</v>
      </c>
      <c r="I62" s="36">
        <v>2.8154541038975269</v>
      </c>
    </row>
    <row r="63" spans="1:9" x14ac:dyDescent="0.25">
      <c r="A63" s="192" t="s">
        <v>24</v>
      </c>
      <c r="B63" s="193" t="s">
        <v>95</v>
      </c>
      <c r="C63" s="193">
        <v>20</v>
      </c>
      <c r="D63" s="193">
        <v>180</v>
      </c>
      <c r="E63" s="36">
        <v>3.769774343225004E-3</v>
      </c>
      <c r="F63" s="36">
        <v>2.2674170139378728E-2</v>
      </c>
      <c r="G63" s="36">
        <v>2.720900416725448E-2</v>
      </c>
      <c r="H63" s="36">
        <v>6.9703150798753E-2</v>
      </c>
      <c r="I63" s="36">
        <v>7.9660743770003442E-2</v>
      </c>
    </row>
    <row r="64" spans="1:9" x14ac:dyDescent="0.25">
      <c r="A64" s="192" t="s">
        <v>97</v>
      </c>
      <c r="B64" s="193" t="s">
        <v>302</v>
      </c>
      <c r="C64" s="193">
        <v>15</v>
      </c>
      <c r="D64" s="193">
        <v>69</v>
      </c>
      <c r="E64" s="36">
        <v>0.31249777777777782</v>
      </c>
      <c r="F64" s="36">
        <v>0.63104540084388194</v>
      </c>
      <c r="G64" s="36">
        <v>1.1775088967971532</v>
      </c>
      <c r="H64" s="36">
        <v>1.9324461012736875</v>
      </c>
      <c r="I64" s="36">
        <v>2.9377494692144372</v>
      </c>
    </row>
  </sheetData>
  <autoFilter ref="A1:E48"/>
  <phoneticPr fontId="7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21</vt:i4>
      </vt:variant>
    </vt:vector>
  </HeadingPairs>
  <TitlesOfParts>
    <vt:vector size="21" baseType="lpstr">
      <vt:lpstr>Q.ilex_Q.suber y Larix</vt:lpstr>
      <vt:lpstr>Datos</vt:lpstr>
      <vt:lpstr>Calculadora Abs</vt:lpstr>
      <vt:lpstr>Total especies y métodos</vt:lpstr>
      <vt:lpstr>201 IFN3_D-t IFN1</vt:lpstr>
      <vt:lpstr>Tabla 7</vt:lpstr>
      <vt:lpstr>Montero 2014</vt:lpstr>
      <vt:lpstr>Comparativa Montero - IPCC</vt:lpstr>
      <vt:lpstr>Alt_diám tablas producc</vt:lpstr>
      <vt:lpstr>Descartes</vt:lpstr>
      <vt:lpstr>Asimilaciones</vt:lpstr>
      <vt:lpstr>Fuentes</vt:lpstr>
      <vt:lpstr>Hoja2</vt:lpstr>
      <vt:lpstr>Contenido e instrucciones</vt:lpstr>
      <vt:lpstr>1. Datos generales proyecto</vt:lpstr>
      <vt:lpstr>2. Estimación absorción total</vt:lpstr>
      <vt:lpstr>3. Absorciones_Disponibles</vt:lpstr>
      <vt:lpstr>4. Factores de absorción</vt:lpstr>
      <vt:lpstr>Revisiones calculadora </vt:lpstr>
      <vt:lpstr>Selección final metodología</vt:lpstr>
      <vt:lpstr>Todas metodologías</vt:lpstr>
    </vt:vector>
  </TitlesOfParts>
  <Company>Tragsatec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 Notario Lopez</dc:creator>
  <cp:lastModifiedBy>Elisa</cp:lastModifiedBy>
  <cp:lastPrinted>2014-12-03T13:39:33Z</cp:lastPrinted>
  <dcterms:created xsi:type="dcterms:W3CDTF">2014-04-15T11:04:30Z</dcterms:created>
  <dcterms:modified xsi:type="dcterms:W3CDTF">2018-01-31T10:04:22Z</dcterms:modified>
</cp:coreProperties>
</file>