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AMZScout EVENT\"/>
    </mc:Choice>
  </mc:AlternateContent>
  <xr:revisionPtr revIDLastSave="0" documentId="8_{6B2A5201-F6C1-45EF-86C4-BE2240F915F3}" xr6:coauthVersionLast="47" xr6:coauthVersionMax="47" xr10:uidLastSave="{00000000-0000-0000-0000-000000000000}"/>
  <bookViews>
    <workbookView xWindow="-120" yWindow="-120" windowWidth="38640" windowHeight="21240" xr2:uid="{1D8B7654-FB49-4FB1-B01C-C5A867AB72B6}"/>
  </bookViews>
  <sheets>
    <sheet name="Cheat Sheet" sheetId="1" r:id="rId1"/>
    <sheet name="Fulfilment Fee Li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 i="1" l="1"/>
  <c r="BI4" i="1"/>
  <c r="BI5" i="1"/>
  <c r="BI6" i="1"/>
  <c r="BI7" i="1"/>
  <c r="BI8" i="1"/>
  <c r="BI9" i="1"/>
  <c r="BI10" i="1"/>
  <c r="BI11" i="1"/>
  <c r="BI12" i="1"/>
  <c r="BI13" i="1"/>
  <c r="BI14" i="1"/>
  <c r="BI15" i="1"/>
  <c r="BI16" i="1"/>
  <c r="BI17" i="1"/>
  <c r="BI18" i="1"/>
  <c r="BI19" i="1"/>
  <c r="BI20" i="1"/>
  <c r="BI21" i="1"/>
  <c r="BI22" i="1"/>
  <c r="BI23" i="1"/>
  <c r="BI24" i="1"/>
  <c r="BI25" i="1"/>
  <c r="BI2" i="1"/>
  <c r="BG3" i="1"/>
  <c r="BG4" i="1"/>
  <c r="BG5" i="1"/>
  <c r="BG6" i="1"/>
  <c r="BG7" i="1"/>
  <c r="BG8" i="1"/>
  <c r="BG9" i="1"/>
  <c r="BG10" i="1"/>
  <c r="BG11" i="1"/>
  <c r="BG12" i="1"/>
  <c r="BG13" i="1"/>
  <c r="BG14" i="1"/>
  <c r="BG15" i="1"/>
  <c r="BG16" i="1"/>
  <c r="BG17" i="1"/>
  <c r="BG18" i="1"/>
  <c r="BG19" i="1"/>
  <c r="BG20" i="1"/>
  <c r="BG21" i="1"/>
  <c r="BG22" i="1"/>
  <c r="BG23" i="1"/>
  <c r="BG24" i="1"/>
  <c r="BG25" i="1"/>
  <c r="BG2" i="1"/>
  <c r="BB2" i="1"/>
  <c r="BC2" i="1"/>
  <c r="BJ2" i="1"/>
  <c r="H3" i="1"/>
  <c r="K3" i="1"/>
  <c r="P3" i="1"/>
  <c r="T3" i="1"/>
  <c r="U3" i="1"/>
  <c r="AO3" i="1"/>
  <c r="AT3" i="1"/>
  <c r="AV3" i="1"/>
  <c r="AW3" i="1"/>
  <c r="BB3" i="1"/>
  <c r="BD3" i="1" s="1"/>
  <c r="BF3" i="1" s="1"/>
  <c r="BC3" i="1"/>
  <c r="H4" i="1"/>
  <c r="K4" i="1"/>
  <c r="BB4" i="1" s="1"/>
  <c r="BD4" i="1" s="1"/>
  <c r="BF4" i="1" s="1"/>
  <c r="P4" i="1"/>
  <c r="T4" i="1"/>
  <c r="U4" i="1"/>
  <c r="AO4" i="1"/>
  <c r="AT4" i="1"/>
  <c r="AV4" i="1"/>
  <c r="AW4" i="1"/>
  <c r="BC4" i="1"/>
  <c r="H5" i="1"/>
  <c r="K5" i="1"/>
  <c r="P5" i="1"/>
  <c r="T5" i="1"/>
  <c r="U5" i="1"/>
  <c r="AO5" i="1"/>
  <c r="AT5" i="1"/>
  <c r="AV5" i="1"/>
  <c r="AW5" i="1"/>
  <c r="BB5" i="1"/>
  <c r="BD5" i="1" s="1"/>
  <c r="BF5" i="1" s="1"/>
  <c r="BC5" i="1"/>
  <c r="H6" i="1"/>
  <c r="BB6" i="1" s="1"/>
  <c r="BD6" i="1" s="1"/>
  <c r="BF6" i="1" s="1"/>
  <c r="K6" i="1"/>
  <c r="P6" i="1"/>
  <c r="T6" i="1"/>
  <c r="U6" i="1"/>
  <c r="AO6" i="1"/>
  <c r="AT6" i="1"/>
  <c r="AV6" i="1"/>
  <c r="AW6" i="1"/>
  <c r="BC6" i="1"/>
  <c r="H7" i="1"/>
  <c r="BB7" i="1" s="1"/>
  <c r="BD7" i="1" s="1"/>
  <c r="BF7" i="1" s="1"/>
  <c r="K7" i="1"/>
  <c r="P7" i="1"/>
  <c r="T7" i="1"/>
  <c r="U7" i="1"/>
  <c r="AO7" i="1"/>
  <c r="AT7" i="1"/>
  <c r="AV7" i="1"/>
  <c r="AW7" i="1"/>
  <c r="BC7" i="1"/>
  <c r="H8" i="1"/>
  <c r="BB8" i="1" s="1"/>
  <c r="BD8" i="1" s="1"/>
  <c r="BF8" i="1" s="1"/>
  <c r="K8" i="1"/>
  <c r="P8" i="1"/>
  <c r="T8" i="1"/>
  <c r="U8" i="1"/>
  <c r="AO8" i="1"/>
  <c r="AT8" i="1"/>
  <c r="AV8" i="1"/>
  <c r="AW8" i="1"/>
  <c r="BC8" i="1"/>
  <c r="H9" i="1"/>
  <c r="K9" i="1"/>
  <c r="P9" i="1"/>
  <c r="T9" i="1"/>
  <c r="U9" i="1"/>
  <c r="AO9" i="1"/>
  <c r="AT9" i="1"/>
  <c r="AV9" i="1"/>
  <c r="AW9" i="1"/>
  <c r="BB9" i="1"/>
  <c r="BD9" i="1" s="1"/>
  <c r="BF9" i="1" s="1"/>
  <c r="BC9" i="1"/>
  <c r="H10" i="1"/>
  <c r="K10" i="1"/>
  <c r="BB10" i="1" s="1"/>
  <c r="BD10" i="1" s="1"/>
  <c r="BF10" i="1" s="1"/>
  <c r="P10" i="1"/>
  <c r="T10" i="1"/>
  <c r="U10" i="1"/>
  <c r="AO10" i="1"/>
  <c r="AT10" i="1"/>
  <c r="AV10" i="1"/>
  <c r="AW10" i="1"/>
  <c r="BC10" i="1"/>
  <c r="H11" i="1"/>
  <c r="BB11" i="1" s="1"/>
  <c r="BD11" i="1" s="1"/>
  <c r="BF11" i="1" s="1"/>
  <c r="K11" i="1"/>
  <c r="P11" i="1"/>
  <c r="T11" i="1"/>
  <c r="U11" i="1"/>
  <c r="AO11" i="1"/>
  <c r="AT11" i="1"/>
  <c r="AV11" i="1"/>
  <c r="AW11" i="1"/>
  <c r="BC11" i="1"/>
  <c r="H13" i="1"/>
  <c r="K13" i="1"/>
  <c r="P13" i="1"/>
  <c r="T13" i="1"/>
  <c r="U13" i="1"/>
  <c r="AO13" i="1"/>
  <c r="AT13" i="1"/>
  <c r="AV13" i="1"/>
  <c r="AW13" i="1"/>
  <c r="AY13" i="1"/>
  <c r="AZ13" i="1"/>
  <c r="BA13" i="1" s="1"/>
  <c r="BE13" i="1" s="1"/>
  <c r="BJ13" i="1" s="1"/>
  <c r="BK13" i="1" s="1"/>
  <c r="BB13" i="1"/>
  <c r="BD13" i="1" s="1"/>
  <c r="BF13" i="1" s="1"/>
  <c r="BC13" i="1"/>
  <c r="H14" i="1"/>
  <c r="K14" i="1"/>
  <c r="P14" i="1"/>
  <c r="T14" i="1"/>
  <c r="U14" i="1"/>
  <c r="AO14" i="1"/>
  <c r="AT14" i="1"/>
  <c r="AV14" i="1"/>
  <c r="AW14" i="1" s="1"/>
  <c r="AY14" i="1"/>
  <c r="AZ14" i="1"/>
  <c r="BA14" i="1" s="1"/>
  <c r="BE14" i="1" s="1"/>
  <c r="BJ14" i="1" s="1"/>
  <c r="BK14" i="1" s="1"/>
  <c r="BB14" i="1"/>
  <c r="BD14" i="1" s="1"/>
  <c r="BF14" i="1" s="1"/>
  <c r="BC14" i="1"/>
  <c r="H15" i="1"/>
  <c r="BB15" i="1" s="1"/>
  <c r="BD15" i="1" s="1"/>
  <c r="BF15" i="1" s="1"/>
  <c r="K15" i="1"/>
  <c r="P15" i="1"/>
  <c r="T15" i="1"/>
  <c r="U15" i="1"/>
  <c r="AO15" i="1"/>
  <c r="AT15" i="1"/>
  <c r="AV15" i="1"/>
  <c r="AW15" i="1" s="1"/>
  <c r="AY15" i="1"/>
  <c r="AZ15" i="1"/>
  <c r="BA15" i="1" s="1"/>
  <c r="BE15" i="1" s="1"/>
  <c r="BJ15" i="1" s="1"/>
  <c r="BK15" i="1" s="1"/>
  <c r="BC15" i="1"/>
  <c r="H16" i="1"/>
  <c r="BB16" i="1" s="1"/>
  <c r="BD16" i="1" s="1"/>
  <c r="BF16" i="1" s="1"/>
  <c r="K16" i="1"/>
  <c r="P16" i="1"/>
  <c r="T16" i="1"/>
  <c r="U16" i="1"/>
  <c r="AO16" i="1"/>
  <c r="AT16" i="1"/>
  <c r="AV16" i="1"/>
  <c r="AW16" i="1" s="1"/>
  <c r="AY16" i="1"/>
  <c r="AZ16" i="1"/>
  <c r="BA16" i="1" s="1"/>
  <c r="BE16" i="1" s="1"/>
  <c r="BJ16" i="1" s="1"/>
  <c r="BK16" i="1" s="1"/>
  <c r="BC16" i="1"/>
  <c r="H17" i="1"/>
  <c r="K17" i="1"/>
  <c r="P17" i="1"/>
  <c r="T17" i="1"/>
  <c r="U17" i="1"/>
  <c r="AO17" i="1"/>
  <c r="AT17" i="1"/>
  <c r="AV17" i="1"/>
  <c r="AW17" i="1" s="1"/>
  <c r="AY17" i="1"/>
  <c r="AZ17" i="1"/>
  <c r="BA17" i="1" s="1"/>
  <c r="BE17" i="1" s="1"/>
  <c r="BJ17" i="1" s="1"/>
  <c r="BK17" i="1" s="1"/>
  <c r="BB17" i="1"/>
  <c r="BC17" i="1"/>
  <c r="BD17" i="1"/>
  <c r="BF17" i="1" s="1"/>
  <c r="H18" i="1"/>
  <c r="K18" i="1"/>
  <c r="BB18" i="1" s="1"/>
  <c r="BD18" i="1" s="1"/>
  <c r="BF18" i="1" s="1"/>
  <c r="P18" i="1"/>
  <c r="T18" i="1"/>
  <c r="U18" i="1"/>
  <c r="AO18" i="1"/>
  <c r="AT18" i="1"/>
  <c r="AV18" i="1"/>
  <c r="AW18" i="1" s="1"/>
  <c r="AY18" i="1"/>
  <c r="AZ18" i="1"/>
  <c r="BA18" i="1" s="1"/>
  <c r="BE18" i="1" s="1"/>
  <c r="BJ18" i="1" s="1"/>
  <c r="BK18" i="1" s="1"/>
  <c r="BC18" i="1"/>
  <c r="H19" i="1"/>
  <c r="BB19" i="1" s="1"/>
  <c r="BD19" i="1" s="1"/>
  <c r="BF19" i="1" s="1"/>
  <c r="K19" i="1"/>
  <c r="P19" i="1"/>
  <c r="T19" i="1"/>
  <c r="U19" i="1"/>
  <c r="AO19" i="1"/>
  <c r="AT19" i="1"/>
  <c r="AV19" i="1"/>
  <c r="AW19" i="1"/>
  <c r="AY19" i="1"/>
  <c r="AZ19" i="1"/>
  <c r="BA19" i="1" s="1"/>
  <c r="BE19" i="1" s="1"/>
  <c r="BJ19" i="1" s="1"/>
  <c r="BK19" i="1" s="1"/>
  <c r="BC19" i="1"/>
  <c r="H20" i="1"/>
  <c r="BB20" i="1" s="1"/>
  <c r="BD20" i="1" s="1"/>
  <c r="BF20" i="1" s="1"/>
  <c r="K20" i="1"/>
  <c r="P20" i="1"/>
  <c r="T20" i="1"/>
  <c r="U20" i="1"/>
  <c r="AO20" i="1"/>
  <c r="AT20" i="1"/>
  <c r="AV20" i="1"/>
  <c r="AW20" i="1"/>
  <c r="AY20" i="1"/>
  <c r="AZ20" i="1"/>
  <c r="BA20" i="1" s="1"/>
  <c r="BE20" i="1" s="1"/>
  <c r="BJ20" i="1" s="1"/>
  <c r="BK20" i="1" s="1"/>
  <c r="BC20" i="1"/>
  <c r="H21" i="1"/>
  <c r="K21" i="1"/>
  <c r="P21" i="1"/>
  <c r="T21" i="1"/>
  <c r="U21" i="1"/>
  <c r="AO21" i="1"/>
  <c r="AT21" i="1"/>
  <c r="AV21" i="1"/>
  <c r="AW21" i="1"/>
  <c r="AY21" i="1"/>
  <c r="AZ21" i="1"/>
  <c r="BA21" i="1" s="1"/>
  <c r="BE21" i="1" s="1"/>
  <c r="BJ21" i="1" s="1"/>
  <c r="BK21" i="1" s="1"/>
  <c r="BB21" i="1"/>
  <c r="BC21" i="1"/>
  <c r="BD21" i="1" s="1"/>
  <c r="BF21" i="1" s="1"/>
  <c r="H22" i="1"/>
  <c r="K22" i="1"/>
  <c r="P22" i="1"/>
  <c r="T22" i="1"/>
  <c r="U22" i="1"/>
  <c r="AO22" i="1"/>
  <c r="AT22" i="1"/>
  <c r="AV22" i="1"/>
  <c r="AW22" i="1"/>
  <c r="AY22" i="1"/>
  <c r="AZ22" i="1"/>
  <c r="BA22" i="1" s="1"/>
  <c r="BE22" i="1" s="1"/>
  <c r="BJ22" i="1" s="1"/>
  <c r="BK22" i="1" s="1"/>
  <c r="BB22" i="1"/>
  <c r="BD22" i="1" s="1"/>
  <c r="BF22" i="1" s="1"/>
  <c r="BC22" i="1"/>
  <c r="H23" i="1"/>
  <c r="BB23" i="1" s="1"/>
  <c r="BD23" i="1" s="1"/>
  <c r="BF23" i="1" s="1"/>
  <c r="K23" i="1"/>
  <c r="P23" i="1"/>
  <c r="T23" i="1"/>
  <c r="U23" i="1"/>
  <c r="AO23" i="1"/>
  <c r="AT23" i="1"/>
  <c r="AV23" i="1"/>
  <c r="AW23" i="1" s="1"/>
  <c r="AY23" i="1"/>
  <c r="AZ23" i="1"/>
  <c r="BA23" i="1" s="1"/>
  <c r="BE23" i="1" s="1"/>
  <c r="BJ23" i="1" s="1"/>
  <c r="BK23" i="1" s="1"/>
  <c r="BC23" i="1"/>
  <c r="H24" i="1"/>
  <c r="K24" i="1"/>
  <c r="P24" i="1"/>
  <c r="T24" i="1"/>
  <c r="U24" i="1"/>
  <c r="AO24" i="1"/>
  <c r="AT24" i="1"/>
  <c r="AV24" i="1"/>
  <c r="AW24" i="1"/>
  <c r="AY24" i="1"/>
  <c r="AZ24" i="1"/>
  <c r="BA24" i="1" s="1"/>
  <c r="BE24" i="1" s="1"/>
  <c r="BB24" i="1"/>
  <c r="BD24" i="1" s="1"/>
  <c r="BF24" i="1" s="1"/>
  <c r="BC24" i="1"/>
  <c r="H25" i="1"/>
  <c r="BB25" i="1" s="1"/>
  <c r="BD25" i="1" s="1"/>
  <c r="BF25" i="1" s="1"/>
  <c r="K25" i="1"/>
  <c r="P25" i="1"/>
  <c r="T25" i="1"/>
  <c r="U25" i="1"/>
  <c r="AO25" i="1"/>
  <c r="AT25" i="1"/>
  <c r="AV25" i="1"/>
  <c r="AW25" i="1"/>
  <c r="AY25" i="1"/>
  <c r="AZ25" i="1"/>
  <c r="BA25" i="1" s="1"/>
  <c r="BE25" i="1" s="1"/>
  <c r="BJ25" i="1" s="1"/>
  <c r="BK25" i="1" s="1"/>
  <c r="BC25" i="1"/>
  <c r="BJ24" i="1" l="1"/>
  <c r="BK24" i="1" s="1"/>
  <c r="A26" i="2" l="1"/>
  <c r="A27" i="2"/>
  <c r="D2" i="2"/>
  <c r="D4" i="2"/>
  <c r="E4" i="2"/>
  <c r="F4" i="2"/>
  <c r="D5" i="2"/>
  <c r="E5" i="2"/>
  <c r="F5" i="2"/>
  <c r="D6" i="2"/>
  <c r="E6" i="2"/>
  <c r="F6" i="2"/>
  <c r="D7" i="2"/>
  <c r="E7" i="2"/>
  <c r="F7" i="2"/>
  <c r="D8" i="2"/>
  <c r="E8" i="2"/>
  <c r="F8" i="2"/>
  <c r="D9" i="2"/>
  <c r="E9" i="2"/>
  <c r="F9" i="2"/>
  <c r="D10" i="2"/>
  <c r="E10" i="2"/>
  <c r="F10" i="2"/>
  <c r="D11" i="2"/>
  <c r="E11" i="2"/>
  <c r="F11" i="2"/>
  <c r="D12" i="2"/>
  <c r="E12" i="2"/>
  <c r="F12" i="2"/>
  <c r="D13" i="2"/>
  <c r="E13" i="2"/>
  <c r="F13" i="2"/>
  <c r="D14" i="2"/>
  <c r="E14" i="2"/>
  <c r="F14" i="2"/>
  <c r="D15" i="2"/>
  <c r="E15" i="2"/>
  <c r="F15" i="2"/>
  <c r="D16" i="2"/>
  <c r="E16" i="2"/>
  <c r="F16" i="2"/>
  <c r="D17" i="2"/>
  <c r="E17" i="2"/>
  <c r="F17" i="2"/>
  <c r="D18" i="2"/>
  <c r="E18" i="2"/>
  <c r="F18" i="2"/>
  <c r="D19" i="2"/>
  <c r="E19" i="2"/>
  <c r="F19" i="2"/>
  <c r="D20" i="2"/>
  <c r="E20" i="2"/>
  <c r="F20" i="2"/>
  <c r="D21" i="2"/>
  <c r="E21" i="2"/>
  <c r="F21" i="2"/>
  <c r="D22" i="2"/>
  <c r="E22" i="2"/>
  <c r="F22" i="2"/>
  <c r="D23" i="2"/>
  <c r="E23" i="2"/>
  <c r="F23" i="2"/>
  <c r="D24" i="2"/>
  <c r="E24" i="2"/>
  <c r="F24" i="2"/>
  <c r="C25" i="2"/>
  <c r="D25" i="2"/>
  <c r="E25" i="2"/>
  <c r="F25" i="2"/>
  <c r="C26" i="2"/>
  <c r="D26" i="2"/>
  <c r="E26" i="2"/>
  <c r="F26" i="2"/>
  <c r="C27" i="2"/>
  <c r="D27" i="2"/>
  <c r="E27" i="2"/>
  <c r="F27" i="2"/>
  <c r="C28" i="2"/>
  <c r="D28" i="2"/>
  <c r="E28" i="2"/>
  <c r="F28" i="2"/>
  <c r="C29" i="2"/>
  <c r="D29" i="2"/>
  <c r="E29" i="2"/>
  <c r="F29" i="2"/>
  <c r="C30" i="2"/>
  <c r="D30" i="2"/>
  <c r="E30" i="2"/>
  <c r="F30" i="2"/>
  <c r="C31" i="2"/>
  <c r="D31" i="2"/>
  <c r="E31" i="2"/>
  <c r="F31" i="2"/>
  <c r="C32" i="2"/>
  <c r="D32" i="2"/>
  <c r="E32" i="2"/>
  <c r="F32" i="2"/>
  <c r="C33" i="2"/>
  <c r="D33" i="2"/>
  <c r="E33" i="2"/>
  <c r="F33" i="2"/>
  <c r="C34" i="2"/>
  <c r="D34" i="2"/>
  <c r="E34" i="2"/>
  <c r="F34" i="2"/>
  <c r="C35" i="2"/>
  <c r="D35" i="2"/>
  <c r="E35" i="2"/>
  <c r="F35" i="2"/>
  <c r="C36" i="2"/>
  <c r="D36" i="2"/>
  <c r="E36" i="2"/>
  <c r="F36" i="2"/>
  <c r="C37" i="2"/>
  <c r="D37" i="2"/>
  <c r="E37" i="2"/>
  <c r="F37" i="2"/>
  <c r="C38" i="2"/>
  <c r="D38" i="2"/>
  <c r="E38" i="2"/>
  <c r="F38" i="2"/>
  <c r="C39" i="2"/>
  <c r="D39" i="2"/>
  <c r="E39" i="2"/>
  <c r="F39" i="2"/>
  <c r="C40" i="2"/>
  <c r="D40" i="2"/>
  <c r="E40" i="2"/>
  <c r="F40" i="2"/>
  <c r="C41" i="2"/>
  <c r="D41" i="2"/>
  <c r="E41" i="2"/>
  <c r="F41" i="2"/>
  <c r="C42" i="2"/>
  <c r="D42" i="2"/>
  <c r="E42" i="2"/>
  <c r="F42" i="2"/>
  <c r="C43" i="2"/>
  <c r="D43" i="2"/>
  <c r="E43" i="2"/>
  <c r="F43" i="2"/>
  <c r="C44" i="2"/>
  <c r="D44" i="2"/>
  <c r="E44" i="2"/>
  <c r="F44" i="2"/>
  <c r="C45" i="2"/>
  <c r="D45" i="2"/>
  <c r="E45" i="2"/>
  <c r="F45" i="2"/>
  <c r="C46" i="2"/>
  <c r="D46" i="2"/>
  <c r="E46" i="2"/>
  <c r="F46" i="2"/>
  <c r="C47" i="2"/>
  <c r="D47" i="2"/>
  <c r="E47" i="2"/>
  <c r="F47" i="2"/>
  <c r="C48" i="2"/>
  <c r="D48" i="2"/>
  <c r="E48" i="2"/>
  <c r="F48" i="2"/>
  <c r="C49" i="2"/>
  <c r="D49" i="2"/>
  <c r="E49" i="2"/>
  <c r="F49" i="2"/>
  <c r="C50" i="2"/>
  <c r="D50" i="2"/>
  <c r="E50" i="2"/>
  <c r="F50" i="2"/>
  <c r="F3" i="2"/>
  <c r="F2" i="2"/>
  <c r="D3" i="2"/>
  <c r="E3" i="2"/>
  <c r="E2" i="2"/>
  <c r="C2" i="2"/>
  <c r="A43" i="2"/>
  <c r="A44" i="2"/>
  <c r="A45" i="2"/>
  <c r="A46" i="2"/>
  <c r="A47" i="2"/>
  <c r="A48" i="2"/>
  <c r="A49" i="2"/>
  <c r="A50" i="2"/>
  <c r="A33" i="2"/>
  <c r="A34" i="2"/>
  <c r="A35" i="2"/>
  <c r="A36" i="2"/>
  <c r="A37" i="2"/>
  <c r="A38" i="2"/>
  <c r="A39" i="2"/>
  <c r="A40" i="2"/>
  <c r="A41" i="2"/>
  <c r="A42" i="2"/>
  <c r="A12" i="2"/>
  <c r="A13" i="2"/>
  <c r="A14" i="2"/>
  <c r="A15" i="2"/>
  <c r="A16" i="2"/>
  <c r="A17" i="2"/>
  <c r="A18" i="2"/>
  <c r="A19" i="2"/>
  <c r="A20" i="2"/>
  <c r="A21" i="2"/>
  <c r="A22" i="2"/>
  <c r="A23" i="2"/>
  <c r="A24" i="2"/>
  <c r="A25" i="2"/>
  <c r="A28" i="2"/>
  <c r="A30" i="2"/>
  <c r="A31" i="2"/>
  <c r="A32" i="2"/>
  <c r="A55" i="2"/>
  <c r="A56" i="2"/>
  <c r="A57" i="2"/>
  <c r="A58" i="2"/>
  <c r="A59" i="2"/>
  <c r="A60" i="2"/>
  <c r="A61" i="2"/>
  <c r="A62" i="2"/>
  <c r="A63" i="2"/>
  <c r="A64" i="2"/>
  <c r="A65" i="2"/>
  <c r="A2" i="2"/>
  <c r="A3" i="2"/>
  <c r="A4" i="2"/>
  <c r="A5" i="2"/>
  <c r="A6" i="2"/>
  <c r="A7" i="2"/>
  <c r="A8" i="2"/>
  <c r="A9" i="2"/>
  <c r="A10" i="2"/>
  <c r="A11" i="2"/>
  <c r="A29" i="2"/>
  <c r="G7" i="2" l="1"/>
  <c r="G33" i="2"/>
  <c r="G14" i="2"/>
  <c r="G26" i="2"/>
  <c r="G11" i="2"/>
  <c r="G4" i="2"/>
  <c r="B31" i="2"/>
  <c r="H31" i="2" s="1"/>
  <c r="G28" i="2"/>
  <c r="G9" i="2"/>
  <c r="G24" i="2"/>
  <c r="G44" i="2"/>
  <c r="G38" i="2"/>
  <c r="B46" i="2"/>
  <c r="H46" i="2" s="1"/>
  <c r="G6" i="2"/>
  <c r="B32" i="2"/>
  <c r="H32" i="2" s="1"/>
  <c r="G22" i="2"/>
  <c r="G21" i="2"/>
  <c r="G27" i="2"/>
  <c r="B45" i="2"/>
  <c r="H45" i="2" s="1"/>
  <c r="G41" i="2"/>
  <c r="G35" i="2"/>
  <c r="B47" i="2"/>
  <c r="H47" i="2" s="1"/>
  <c r="G46" i="2"/>
  <c r="G12" i="2"/>
  <c r="B30" i="2"/>
  <c r="H30" i="2" s="1"/>
  <c r="G20" i="2"/>
  <c r="G42" i="2"/>
  <c r="G8" i="2"/>
  <c r="B42" i="2"/>
  <c r="H42" i="2" s="1"/>
  <c r="G34" i="2"/>
  <c r="G17" i="2"/>
  <c r="G49" i="2"/>
  <c r="G18" i="2"/>
  <c r="B49" i="2"/>
  <c r="H49" i="2" s="1"/>
  <c r="B41" i="2"/>
  <c r="H41" i="2" s="1"/>
  <c r="G48" i="2"/>
  <c r="G40" i="2"/>
  <c r="B25" i="2"/>
  <c r="H25" i="2" s="1"/>
  <c r="G15" i="2"/>
  <c r="G47" i="2"/>
  <c r="B38" i="2"/>
  <c r="H38" i="2" s="1"/>
  <c r="B39" i="2"/>
  <c r="H39" i="2" s="1"/>
  <c r="G31" i="2"/>
  <c r="B37" i="2"/>
  <c r="H37" i="2" s="1"/>
  <c r="B36" i="2"/>
  <c r="H36" i="2" s="1"/>
  <c r="G10" i="2"/>
  <c r="B43" i="2"/>
  <c r="H43" i="2" s="1"/>
  <c r="G43" i="2"/>
  <c r="G19" i="2"/>
  <c r="B40" i="2"/>
  <c r="H40" i="2" s="1"/>
  <c r="G39" i="2"/>
  <c r="B33" i="2"/>
  <c r="H33" i="2" s="1"/>
  <c r="B26" i="2"/>
  <c r="H26" i="2" s="1"/>
  <c r="G25" i="2"/>
  <c r="G50" i="2"/>
  <c r="G5" i="2"/>
  <c r="G32" i="2"/>
  <c r="B50" i="2"/>
  <c r="H50" i="2" s="1"/>
  <c r="B35" i="2"/>
  <c r="H35" i="2" s="1"/>
  <c r="B28" i="2"/>
  <c r="H28" i="2" s="1"/>
  <c r="B2" i="2"/>
  <c r="B44" i="2"/>
  <c r="H44" i="2" s="1"/>
  <c r="G45" i="2"/>
  <c r="G16" i="2"/>
  <c r="G30" i="2"/>
  <c r="G37" i="2"/>
  <c r="G23" i="2"/>
  <c r="G36" i="2"/>
  <c r="G29" i="2"/>
  <c r="B29" i="2"/>
  <c r="H29" i="2" s="1"/>
  <c r="G13" i="2"/>
  <c r="B48" i="2"/>
  <c r="H48" i="2" s="1"/>
  <c r="B34" i="2"/>
  <c r="H34" i="2" s="1"/>
  <c r="B27" i="2"/>
  <c r="H27" i="2" s="1"/>
  <c r="C4" i="2"/>
  <c r="B4" i="2" s="1"/>
  <c r="AS5" i="1" s="1"/>
  <c r="C23" i="2"/>
  <c r="C24" i="2"/>
  <c r="G2" i="2"/>
  <c r="G3" i="2"/>
  <c r="C3" i="2"/>
  <c r="C5" i="2"/>
  <c r="H2" i="2" l="1"/>
  <c r="AX3" i="1" s="1"/>
  <c r="AY3" i="1" s="1"/>
  <c r="AZ3" i="1" s="1"/>
  <c r="BA3" i="1" s="1"/>
  <c r="BE3" i="1" s="1"/>
  <c r="BJ3" i="1" s="1"/>
  <c r="BK3" i="1" s="1"/>
  <c r="AS3" i="1"/>
  <c r="B5" i="2"/>
  <c r="H4" i="2"/>
  <c r="AX5" i="1" s="1"/>
  <c r="AY5" i="1" s="1"/>
  <c r="AZ5" i="1" s="1"/>
  <c r="BA5" i="1" s="1"/>
  <c r="BE5" i="1" s="1"/>
  <c r="BJ5" i="1" s="1"/>
  <c r="BK5" i="1" s="1"/>
  <c r="B24" i="2"/>
  <c r="AS25" i="1" s="1"/>
  <c r="B23" i="2"/>
  <c r="AS24" i="1" s="1"/>
  <c r="B3" i="2"/>
  <c r="AS4" i="1" s="1"/>
  <c r="C22" i="2"/>
  <c r="C21" i="2"/>
  <c r="H5" i="2" l="1"/>
  <c r="AX6" i="1" s="1"/>
  <c r="AY6" i="1" s="1"/>
  <c r="AZ6" i="1" s="1"/>
  <c r="BA6" i="1" s="1"/>
  <c r="BE6" i="1" s="1"/>
  <c r="BJ6" i="1" s="1"/>
  <c r="BK6" i="1" s="1"/>
  <c r="AS6" i="1"/>
  <c r="H23" i="2"/>
  <c r="AX24" i="1" s="1"/>
  <c r="H24" i="2"/>
  <c r="AX25" i="1" s="1"/>
  <c r="H3" i="2"/>
  <c r="AX4" i="1" s="1"/>
  <c r="AY4" i="1" s="1"/>
  <c r="AZ4" i="1" s="1"/>
  <c r="BA4" i="1" s="1"/>
  <c r="BE4" i="1" s="1"/>
  <c r="BJ4" i="1" s="1"/>
  <c r="BK4" i="1" s="1"/>
  <c r="B21" i="2"/>
  <c r="AS22" i="1" s="1"/>
  <c r="B22" i="2"/>
  <c r="AS23" i="1" s="1"/>
  <c r="C19" i="2"/>
  <c r="C20" i="2"/>
  <c r="H22" i="2" l="1"/>
  <c r="AX23" i="1" s="1"/>
  <c r="H21" i="2"/>
  <c r="AX22" i="1" s="1"/>
  <c r="B20" i="2"/>
  <c r="AS21" i="1" s="1"/>
  <c r="B19" i="2"/>
  <c r="AS20" i="1" s="1"/>
  <c r="C18" i="2"/>
  <c r="C17" i="2"/>
  <c r="H19" i="2" l="1"/>
  <c r="AX20" i="1" s="1"/>
  <c r="H20" i="2"/>
  <c r="AX21" i="1" s="1"/>
  <c r="B17" i="2"/>
  <c r="AS18" i="1" s="1"/>
  <c r="B18" i="2"/>
  <c r="AS19" i="1" s="1"/>
  <c r="C15" i="2"/>
  <c r="C16" i="2"/>
  <c r="H17" i="2" l="1"/>
  <c r="AX18" i="1" s="1"/>
  <c r="H18" i="2"/>
  <c r="AX19" i="1" s="1"/>
  <c r="B16" i="2"/>
  <c r="AS17" i="1" s="1"/>
  <c r="B15" i="2"/>
  <c r="AS16" i="1" s="1"/>
  <c r="C13" i="2"/>
  <c r="C14" i="2"/>
  <c r="H16" i="2" l="1"/>
  <c r="AX17" i="1" s="1"/>
  <c r="H15" i="2"/>
  <c r="AX16" i="1" s="1"/>
  <c r="B13" i="2"/>
  <c r="AS14" i="1" s="1"/>
  <c r="B14" i="2"/>
  <c r="AS15" i="1" s="1"/>
  <c r="C11" i="2"/>
  <c r="C12" i="2"/>
  <c r="H14" i="2" l="1"/>
  <c r="AX15" i="1" s="1"/>
  <c r="H13" i="2"/>
  <c r="AX14" i="1" s="1"/>
  <c r="B12" i="2"/>
  <c r="AS13" i="1" s="1"/>
  <c r="C9" i="2"/>
  <c r="C10" i="2"/>
  <c r="H12" i="2" l="1"/>
  <c r="AX13" i="1" s="1"/>
  <c r="C8" i="2"/>
  <c r="C7" i="2"/>
  <c r="C6" i="2" l="1"/>
  <c r="B7" i="2" l="1"/>
  <c r="AS8" i="1" s="1"/>
  <c r="B8" i="2"/>
  <c r="AS9" i="1" s="1"/>
  <c r="B11" i="2"/>
  <c r="B9" i="2"/>
  <c r="AS10" i="1" s="1"/>
  <c r="B6" i="2"/>
  <c r="AS7" i="1" s="1"/>
  <c r="B10" i="2"/>
  <c r="AS11" i="1" s="1"/>
  <c r="H10" i="2" l="1"/>
  <c r="AX11" i="1" s="1"/>
  <c r="AY11" i="1" s="1"/>
  <c r="AZ11" i="1" s="1"/>
  <c r="BA11" i="1" s="1"/>
  <c r="BE11" i="1" s="1"/>
  <c r="BJ11" i="1" s="1"/>
  <c r="BK11" i="1" s="1"/>
  <c r="H6" i="2"/>
  <c r="AX7" i="1" s="1"/>
  <c r="AY7" i="1" s="1"/>
  <c r="AZ7" i="1" s="1"/>
  <c r="BA7" i="1" s="1"/>
  <c r="BE7" i="1" s="1"/>
  <c r="BJ7" i="1" s="1"/>
  <c r="BK7" i="1" s="1"/>
  <c r="H11" i="2"/>
  <c r="H9" i="2"/>
  <c r="AX10" i="1" s="1"/>
  <c r="AY10" i="1" s="1"/>
  <c r="AZ10" i="1" s="1"/>
  <c r="BA10" i="1" s="1"/>
  <c r="BE10" i="1" s="1"/>
  <c r="BJ10" i="1" s="1"/>
  <c r="BK10" i="1" s="1"/>
  <c r="H8" i="2"/>
  <c r="AX9" i="1" s="1"/>
  <c r="AY9" i="1" s="1"/>
  <c r="AZ9" i="1" s="1"/>
  <c r="BA9" i="1" s="1"/>
  <c r="BE9" i="1" s="1"/>
  <c r="BJ9" i="1" s="1"/>
  <c r="BK9" i="1" s="1"/>
  <c r="H7" i="2"/>
  <c r="AX8" i="1" s="1"/>
  <c r="AY8" i="1" s="1"/>
  <c r="AZ8" i="1" s="1"/>
  <c r="BA8" i="1" s="1"/>
  <c r="BE8" i="1" s="1"/>
  <c r="BJ8" i="1" s="1"/>
  <c r="BK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Jay Rodgers</author>
  </authors>
  <commentList>
    <comment ref="Q2" authorId="0" shapeId="0" xr:uid="{1309B6AF-5941-4A4C-8A3A-C9BC9DFE4C25}">
      <text>
        <r>
          <rPr>
            <b/>
            <sz val="9"/>
            <color rgb="FF000000"/>
            <rFont val="Tahoma"/>
            <family val="2"/>
          </rPr>
          <t>Enter the 1st highest dimension value found on Amazon under 'Product Dimensions'. Do not include the unit…</t>
        </r>
      </text>
    </comment>
    <comment ref="R2" authorId="0" shapeId="0" xr:uid="{6CD18101-DD36-45E7-A983-60EEFBB0899F}">
      <text>
        <r>
          <rPr>
            <b/>
            <sz val="9"/>
            <color indexed="81"/>
            <rFont val="Tahoma"/>
            <family val="2"/>
          </rPr>
          <t>Enter the 2nd highest dimension value found on Amazon under 'Product Dimensions'. Do not include the unit…</t>
        </r>
      </text>
    </comment>
    <comment ref="S2" authorId="0" shapeId="0" xr:uid="{59A21033-DB20-4C85-8B5D-8B9F7F341C23}">
      <text>
        <r>
          <rPr>
            <b/>
            <sz val="9"/>
            <color rgb="FF000000"/>
            <rFont val="Tahoma"/>
            <family val="2"/>
          </rPr>
          <t>Enter the 3rd highest dimension value found on Amazon under 'Product Dimensions'. Do not include the unit…</t>
        </r>
      </text>
    </comment>
  </commentList>
</comments>
</file>

<file path=xl/sharedStrings.xml><?xml version="1.0" encoding="utf-8"?>
<sst xmlns="http://schemas.openxmlformats.org/spreadsheetml/2006/main" count="488" uniqueCount="371">
  <si>
    <t>Problem 1</t>
  </si>
  <si>
    <t>Problem 2</t>
  </si>
  <si>
    <t>Problem 3</t>
  </si>
  <si>
    <t>Problem 4</t>
  </si>
  <si>
    <t>Differentiation 1</t>
  </si>
  <si>
    <t>Differentiation 2</t>
  </si>
  <si>
    <t>Differentiation 3</t>
  </si>
  <si>
    <t>Differentiation 4</t>
  </si>
  <si>
    <t>Potential supplier</t>
  </si>
  <si>
    <t>Goal sell price</t>
  </si>
  <si>
    <t>Keyword URL</t>
  </si>
  <si>
    <t>Keyword</t>
  </si>
  <si>
    <t>Page 1 Average Monthly Sales</t>
  </si>
  <si>
    <t>Monthly Sales above 300?</t>
  </si>
  <si>
    <t>2 x Page 1 &gt;100 Reviews &lt;300 Sales</t>
  </si>
  <si>
    <t>DAN RODGERS</t>
  </si>
  <si>
    <t>Enter highest potential keyword here…</t>
  </si>
  <si>
    <t>Enter highest potential keyword URL here…</t>
  </si>
  <si>
    <t>Customer Favorite Monthly Sales</t>
  </si>
  <si>
    <t>Enter the monthly sales of the customer favorite found on page 1 here…</t>
  </si>
  <si>
    <t>Customer Favorite Size beneath LSS (18 X 14 X 8)?</t>
  </si>
  <si>
    <t>Enter URL of customer favorite here…</t>
  </si>
  <si>
    <t>Why is this customer favorite?</t>
  </si>
  <si>
    <t>Enter a brief description of why customers favor this product. Use reviews to help you here…</t>
  </si>
  <si>
    <t>Customer Favorite Reviews</t>
  </si>
  <si>
    <t>Page 1 Average Reviews</t>
  </si>
  <si>
    <t>Enter the amount of reviews of the customer favorite found on page 1 here…</t>
  </si>
  <si>
    <t>Enter the most common problem found in reviews of customer favorite here...</t>
  </si>
  <si>
    <t>Enter the 2nd most common problem found in reviews of customer favorite here...</t>
  </si>
  <si>
    <t>Enter the 3rd most common problem found in reviews of customer favorite here...</t>
  </si>
  <si>
    <t>Enter the 4th most common problem found in reviews of customer favorite here...</t>
  </si>
  <si>
    <t>Problem Summary</t>
  </si>
  <si>
    <t>Enter a brief summary of the problems you found with customer favorite here…</t>
  </si>
  <si>
    <t>Enter the strongest differentiator that solves problem 1…</t>
  </si>
  <si>
    <t>Enter the strongest differentiator that solves problem 2…</t>
  </si>
  <si>
    <t>Enter the strongest differentiator that solves problem 3…</t>
  </si>
  <si>
    <t>Enter the strongest differentiator that solves problem 4…</t>
  </si>
  <si>
    <t>Differentiation Summary</t>
  </si>
  <si>
    <t>Enter a brief summary of the differentiators you plan to use…</t>
  </si>
  <si>
    <t>Enter a potential supplier found on alibaba.com. Use Customer Favorite as a guide…</t>
  </si>
  <si>
    <t>Shipping Fees ($)</t>
  </si>
  <si>
    <t>Manufacturing Cost/unit ($)</t>
  </si>
  <si>
    <t>Estimate Landed Cost/unit ($)</t>
  </si>
  <si>
    <t>Referral fees ($)</t>
  </si>
  <si>
    <t>Item weight (lbs)</t>
  </si>
  <si>
    <t>Dimensional weight (lbs)</t>
  </si>
  <si>
    <t>Enter the price of the customer favorite found on page 1 here. Do not include currency symbol…</t>
  </si>
  <si>
    <t>Enter customer favorite weight here. Do not include weight symbol…</t>
  </si>
  <si>
    <t>Notes</t>
  </si>
  <si>
    <t>Customer Favorite Length</t>
  </si>
  <si>
    <t>Customer Favorite Width</t>
  </si>
  <si>
    <t>Customer Favorite Height</t>
  </si>
  <si>
    <t>Fill in the previous 3 fields for this to calculate automatically…</t>
  </si>
  <si>
    <t>Enter the price per unit found on Alibaba.com for the quantity you intend to purchase…</t>
  </si>
  <si>
    <t>Fill in the previous 2 fields for this to calculate automatically…</t>
  </si>
  <si>
    <t>Fill in your goal sell price for this to calculate automatically…</t>
  </si>
  <si>
    <t>Fill in the previous orange fields for this to calculate automatically…</t>
  </si>
  <si>
    <t>Fill in the previous field for this to calculate automatically…</t>
  </si>
  <si>
    <t>Product type</t>
  </si>
  <si>
    <t>Size tier</t>
  </si>
  <si>
    <t>Fulfillment fee per unit</t>
  </si>
  <si>
    <t>Small standard</t>
  </si>
  <si>
    <t>$2.70</t>
  </si>
  <si>
    <t>$2.84</t>
  </si>
  <si>
    <t>$3.32</t>
  </si>
  <si>
    <t>Large standard</t>
  </si>
  <si>
    <t>$3.47</t>
  </si>
  <si>
    <t>$3.64</t>
  </si>
  <si>
    <t>$4.25</t>
  </si>
  <si>
    <t>$4.95</t>
  </si>
  <si>
    <t>$5.68</t>
  </si>
  <si>
    <t>$5.68 + $0.30/lb above first 3 lb</t>
  </si>
  <si>
    <t>Apparel</t>
  </si>
  <si>
    <t>$3.00</t>
  </si>
  <si>
    <t>$3.14</t>
  </si>
  <si>
    <t>$3.62</t>
  </si>
  <si>
    <t>$3.87</t>
  </si>
  <si>
    <t>$4.04</t>
  </si>
  <si>
    <t>$4.65</t>
  </si>
  <si>
    <t>$5.35</t>
  </si>
  <si>
    <t>$6.08</t>
  </si>
  <si>
    <t>$6.08 + $0.30/lb above first 3 lb</t>
  </si>
  <si>
    <t>Dangerous goods</t>
  </si>
  <si>
    <t>$3.63</t>
  </si>
  <si>
    <t>$3.85</t>
  </si>
  <si>
    <t>$3.89</t>
  </si>
  <si>
    <t>$4.22</t>
  </si>
  <si>
    <t>$4.39</t>
  </si>
  <si>
    <t>$4.82</t>
  </si>
  <si>
    <t>$5.52</t>
  </si>
  <si>
    <t>$6.12</t>
  </si>
  <si>
    <t>$6.12 + $0.30/lb above first 3 lb</t>
  </si>
  <si>
    <t>0,375 lbs or less</t>
  </si>
  <si>
    <t>0,375 to 0.75 lbs</t>
  </si>
  <si>
    <t>0,75 to 1 lbs</t>
  </si>
  <si>
    <t>Shipping weight (lbs)</t>
  </si>
  <si>
    <t>Click here to find your FBA fee category...</t>
  </si>
  <si>
    <t>Product size tier</t>
  </si>
  <si>
    <t>Unit weight*</t>
  </si>
  <si>
    <t>Longest side</t>
  </si>
  <si>
    <t>Median side</t>
  </si>
  <si>
    <t>Shortest side</t>
  </si>
  <si>
    <t>Small standard-size</t>
  </si>
  <si>
    <t>15 inches</t>
  </si>
  <si>
    <t>12 inches</t>
  </si>
  <si>
    <t>0.75 inch</t>
  </si>
  <si>
    <t>n/a</t>
  </si>
  <si>
    <t>Large standard-size</t>
  </si>
  <si>
    <t>18 inches</t>
  </si>
  <si>
    <t>14 inches</t>
  </si>
  <si>
    <t>8 inches</t>
  </si>
  <si>
    <t>Small oversize</t>
  </si>
  <si>
    <t>60 inches</t>
  </si>
  <si>
    <t>30 inches</t>
  </si>
  <si>
    <t>130 inches</t>
  </si>
  <si>
    <t>Medium oversize</t>
  </si>
  <si>
    <t>108 inches</t>
  </si>
  <si>
    <t>Large oversize</t>
  </si>
  <si>
    <t>165 inches</t>
  </si>
  <si>
    <t>Special oversize</t>
  </si>
  <si>
    <t>Over 150 lb</t>
  </si>
  <si>
    <t>Over 108 inches</t>
  </si>
  <si>
    <t>Over 165 inches</t>
  </si>
  <si>
    <t>1+ to 2 lbs</t>
  </si>
  <si>
    <t>2+ to 3 lbs</t>
  </si>
  <si>
    <t>3 to 20 lbs</t>
  </si>
  <si>
    <t>Your Product(s)</t>
  </si>
  <si>
    <t>0,375 lbs</t>
  </si>
  <si>
    <t>20 lbs</t>
  </si>
  <si>
    <t>70 lbs</t>
  </si>
  <si>
    <t>150 lbs</t>
  </si>
  <si>
    <t xml:space="preserve">	Length + girth</t>
  </si>
  <si>
    <t>Customer Favorite Product Size Tier</t>
  </si>
  <si>
    <t>This is automatically calculated based on the data previously entered…</t>
  </si>
  <si>
    <t>Most products 
(non-dangerous goods, non-apparel)</t>
  </si>
  <si>
    <t>Fulfilment fee per unit</t>
  </si>
  <si>
    <t>Fba Fulfilment Fee</t>
  </si>
  <si>
    <t>https://www.amazon.com/s?k=Zen+Garden+Kit&amp;ref=nb_sb_noss</t>
  </si>
  <si>
    <t>NO</t>
  </si>
  <si>
    <t>YES</t>
  </si>
  <si>
    <t>Missing items</t>
  </si>
  <si>
    <t>Broken items</t>
  </si>
  <si>
    <t>Cheap frame of garden</t>
  </si>
  <si>
    <t>Not enough sand - didn't cover bottom</t>
  </si>
  <si>
    <t>Quality Control biggest issue.</t>
  </si>
  <si>
    <t>Enter the average  price found on
page 1 here. Do not include currency symbol…</t>
  </si>
  <si>
    <t>Price above $30?</t>
  </si>
  <si>
    <t>Page 1 Average Price</t>
  </si>
  <si>
    <t>Customer Favorite Price</t>
  </si>
  <si>
    <t>Calculated automatically based on the last 2 rows…</t>
  </si>
  <si>
    <t>Enter the average amount of sales found on page 1 here…</t>
  </si>
  <si>
    <t>Enter the average amount of reviews found on page 1 here…</t>
  </si>
  <si>
    <t>Customer Favorite weight</t>
  </si>
  <si>
    <t>Calculated automatically based on the last value inputted…</t>
  </si>
  <si>
    <t>https://www.amazon.com/Japanese-Zen-Garden-Kit-Desk/dp/B08NVKN8V2/ref=sr_1_8?dchild=1&amp;keywords=zen+garden+kit&amp;qid=1622799002&amp;sr=8-8</t>
  </si>
  <si>
    <t>Conduct inspections</t>
  </si>
  <si>
    <t>Improved, stronger packaging</t>
  </si>
  <si>
    <t>Item holder for gardening tools</t>
  </si>
  <si>
    <t>Sufficient sand &amp; refills as a bonus</t>
  </si>
  <si>
    <t>Enter your goal price for this item. It will likely correlate somewhat with your customer favorite…</t>
  </si>
  <si>
    <t>Enter your international shipping fee per unit - DDP…</t>
  </si>
  <si>
    <t>Enter the estimated weight of your proposed product (use customer favorite if unsure)…</t>
  </si>
  <si>
    <t>Your Outbound Shipping Weight: (lbs)</t>
  </si>
  <si>
    <t>Amazon choose the largest of these 2 weights as your final OBS weight…</t>
  </si>
  <si>
    <t>Profit Per Unit</t>
  </si>
  <si>
    <t>MARKET SCORE</t>
  </si>
  <si>
    <t>PROFIT SCORE</t>
  </si>
  <si>
    <t>DEVELOPMENT SCORE</t>
  </si>
  <si>
    <t>Mark 'YES' or 'NO' - Can the product be significantly improved compared to current listings?</t>
  </si>
  <si>
    <t>Mark 'YES' or 'NO' - Are there big brands to compete with in your chosen niche?</t>
  </si>
  <si>
    <t>Mark 'YES' or 'NO' - Are product sales season-dependent?</t>
  </si>
  <si>
    <t>Mark 'YES' or 'NO' -  are there 2 or more sellers on page 1 with less than 100 reviews and more than 300 sales a month?</t>
  </si>
  <si>
    <t>Mark 'YES' or 'NO' - Is the product likely to have a short life cycle? (ie. fidget spinner)</t>
  </si>
  <si>
    <t>YES' Counter</t>
  </si>
  <si>
    <t>NO' Counter</t>
  </si>
  <si>
    <t>MARKET SCORE TOTAL</t>
  </si>
  <si>
    <t>PROFIT MARGIN</t>
  </si>
  <si>
    <t>Fill in the previous fields for this to calculate automatically…</t>
  </si>
  <si>
    <t>WEIGHTED SCORE</t>
  </si>
  <si>
    <t>PROFIT SCORE BACKEND</t>
  </si>
  <si>
    <t>MARKET SCORE BACKEND</t>
  </si>
  <si>
    <t>WEIGHTED SCORE BACKEND</t>
  </si>
  <si>
    <t>This is your Market Score out of 10.</t>
  </si>
  <si>
    <t>9/10 - SUPERB</t>
  </si>
  <si>
    <t>CLICK HERE TO GET DISCOUNTS ON TOOLS 🔗</t>
  </si>
  <si>
    <t>RECOMMENDED TOOLS:</t>
  </si>
  <si>
    <t>A specific product in the market with good sales numbers and low reviews, meaning customer are choosing this product based on its attributes rather than review count. It represents a good market entry point and basis for your own product should you enter this market.</t>
  </si>
  <si>
    <t>Has High Development Potential?</t>
  </si>
  <si>
    <t>CLICK HERE TO VIEW THE FULFILMENT FEE LIST 🔗</t>
  </si>
  <si>
    <t>WHAT IS THE CUSTOMER FAVORITE?</t>
  </si>
  <si>
    <t>FULFILMENT FEE LIST</t>
  </si>
  <si>
    <t>DEVELOPMENT SCORE BACKEND</t>
  </si>
  <si>
    <t>Is it Seasonal?</t>
  </si>
  <si>
    <t>Is it Dangerous/PPE?</t>
  </si>
  <si>
    <t>Is it a Fad?</t>
  </si>
  <si>
    <t>Is there Big Brand competition?</t>
  </si>
  <si>
    <t>Offer interchangeable tools that utilise a 
small Buddha statue as the tool stand. Address the quality control problems, as well as strengthen the packaging.</t>
  </si>
  <si>
    <t>Choose a development potential score for your product…</t>
  </si>
  <si>
    <t>Your final score based on Profit, Market &amp; Development Score...</t>
  </si>
  <si>
    <t>Calculated automatically off of the product dimensions previously filled in…</t>
  </si>
  <si>
    <t>Potential Product Length</t>
  </si>
  <si>
    <t>Potential Product Width</t>
  </si>
  <si>
    <t>Potential Product Height</t>
  </si>
  <si>
    <t>Enter the 1st dimension/length value found on your potential suppliers offering. NB! THIS MUST BE IN INCHES!</t>
  </si>
  <si>
    <t>Enter the 2nd dimension/width value found on your potential suppliers offering. NB! THIS MUST BE IN INCHES!</t>
  </si>
  <si>
    <t>Enter the 3rd dimension/height value found on your potential suppliers offering. NB! THIS MUST BE IN INCHES!</t>
  </si>
  <si>
    <t>HOW TO USE:</t>
  </si>
  <si>
    <t>2 - Use the dropwdown menu's on the 'YES','NO' items</t>
  </si>
  <si>
    <t>3 - Fulfilment fee list is in the bottom left corner</t>
  </si>
  <si>
    <t>4 - Products over 70lbs will not be calculated automatically</t>
  </si>
  <si>
    <t>FOUND A BUG/ERROR?</t>
  </si>
  <si>
    <t>Click here to report bugs/errors to bugs@officialdanrodgers.com</t>
  </si>
  <si>
    <t>Is Customer Favorite weight under 4,75lbs?</t>
  </si>
  <si>
    <t>Calculated automatically from the last 3 fields…</t>
  </si>
  <si>
    <t>Potential Product Size Tier</t>
  </si>
  <si>
    <t>https://www.alibaba.com/product-detail/Wholesale-New-Design-Japanese-Diy-Crafts_62400303103.html?spm=a2700.galleryofferlist.normal_offer.d_title.cd126ec6VJTWqS</t>
  </si>
  <si>
    <t>Mark 'YES' or 'NO' -  Is the product 
dangerous/PPE?</t>
  </si>
  <si>
    <t>Your customer favorite to follow</t>
  </si>
  <si>
    <t>Enter the 1st highest dimension value found on Amazon under 'Product Dimensions'. Do not include the unit…</t>
  </si>
  <si>
    <t>Enter the 2nd highest dimension value found on Amazon under 'Product Dimensions'. Do not include the unit…</t>
  </si>
  <si>
    <t>Enter the 3rd highest dimension value found on Amazon under 'Product Dimensions'. Do not include the unit…</t>
  </si>
  <si>
    <t>1 - Always use ','(commas) instead of '.'(periods) with numbers</t>
  </si>
  <si>
    <t>VIDEO GUIDE</t>
  </si>
  <si>
    <t>Click here for the step-by-step video guide on how to use this sheet</t>
  </si>
  <si>
    <t>8/10 - GREAT</t>
  </si>
  <si>
    <t>6/10 - DECENT</t>
  </si>
  <si>
    <t>Zen Garden Kit</t>
  </si>
  <si>
    <t>Tree of Life Wind Chimes</t>
  </si>
  <si>
    <t>https://www.amazon.com/s?k=tree+of+life+wind+chimes&amp;ref=nb_sb_noss</t>
  </si>
  <si>
    <t>https://www.amazon.com/dp/B08LQT3JF4</t>
  </si>
  <si>
    <t>High Quality Main Image showcasing the package
in its entirety. Unique positioning as a sympathy chime - majority of buyers purchase as a gift.</t>
  </si>
  <si>
    <t>Bends easily</t>
  </si>
  <si>
    <t>Use a stronger metal</t>
  </si>
  <si>
    <t>Not weatherproof</t>
  </si>
  <si>
    <t>Use weatherproof materials/coating</t>
  </si>
  <si>
    <t>Strings get knotted</t>
  </si>
  <si>
    <t>Avoid use of strings, rather use metal rings</t>
  </si>
  <si>
    <t>Only one message on insert card</t>
  </si>
  <si>
    <t>Offer variations of messages to suit the buyers occasion</t>
  </si>
  <si>
    <t>Poor opening experience with bent items and knotted strings. Lack of message choice turns some customers away.</t>
  </si>
  <si>
    <t>Use lightweight metals throughout. If string has to be used, research sturdy variants like braided string. Offer message variations.</t>
  </si>
  <si>
    <t>10/10 - SUPERB</t>
  </si>
  <si>
    <t>Extremely strong product with high differentiation potential. Higher cost price, but also high sell price.</t>
  </si>
  <si>
    <t>Sublimation Stainless Steel Tumblers 
(4 Pack)</t>
  </si>
  <si>
    <t>https://www.amazon.com/s?k=sublimation+stainless+Steel+Tumblers&amp;ref=nb_sb_noss_2</t>
  </si>
  <si>
    <t>Excellent at sublimating (turn solid into gas) which means no sweating on the outside of the tumbler. Fully customizeable when bundled with sublimation paper. Brilliant listing images.</t>
  </si>
  <si>
    <t>Missing Straws/bent &amp; broken</t>
  </si>
  <si>
    <t>Include replacement straws in offering</t>
  </si>
  <si>
    <t>Poor Packaging - dented tumblers</t>
  </si>
  <si>
    <t>Use durable packaging for each tumbler</t>
  </si>
  <si>
    <t>Tumblers not straight</t>
  </si>
  <si>
    <t>Note: This is very important for the sublimation paper to work. The tumblers need to be exactly straight. No tapers on each side.</t>
  </si>
  <si>
    <t>Sublimation paper does not work correctly. When put in the oven the designs drip off.</t>
  </si>
  <si>
    <t>Make sure a tried &amp; tested grade of sublimation paper is used.</t>
  </si>
  <si>
    <t>The offering is often missing items, or is falsely advertised. The sublimation paper needs to work as advertised.</t>
  </si>
  <si>
    <t>Package tumblers &amp; straws in durable packaging. Offer extra replacement metal straws as a value add. Use correct sublimation paper. Offer different numbers of tumblers in variants (4 pack, 8 pack, 10 pack requested)</t>
  </si>
  <si>
    <t>https://www.alibaba.com/product-detail/Sublimation-Tumblers-20oz-Skinny-White-Straight_1600222510701.html?spm=a2700.galleryofferlist.normal_offer.d_title.361836faRejhkq&amp;s=p</t>
  </si>
  <si>
    <t>A new niche with lower competition. Will become verry popular soon. Offering the most value is critical. Customers often buy for a group.</t>
  </si>
  <si>
    <t>Bachelorette Party Fanny Packs</t>
  </si>
  <si>
    <t>https://www.amazon.com/s?k=Bachelorette+Party+fanny+packs&amp;ref=nb_sb_noss</t>
  </si>
  <si>
    <t>https://www.amazon.com/dp/B08M5FHXTS</t>
  </si>
  <si>
    <t>Highest seller in category with only 32 reviews.
Customers love the quality and mention the colour combinationas being a favorite.</t>
  </si>
  <si>
    <t>Large Standard Size</t>
  </si>
  <si>
    <t>Pack rips easily</t>
  </si>
  <si>
    <t>Use a more durable plastic</t>
  </si>
  <si>
    <t>Flimsy/Cheesy Zips</t>
  </si>
  <si>
    <t>Make zips feel high quality through a cheap metal</t>
  </si>
  <si>
    <t>Lettering comes off easily</t>
  </si>
  <si>
    <t>Make sure letters are pressed/printed in design instead of stuck on</t>
  </si>
  <si>
    <t>Two of the same ends on buckle so can't wear it</t>
  </si>
  <si>
    <t>Make sure supplier is doing Quality Control checks. Consider having inventory inspected for these faults.</t>
  </si>
  <si>
    <t>Low quality/cheap materials</t>
  </si>
  <si>
    <t>Use materials that are durable, yet cost effective.
Zips must be made of a lightweight durable metal.
Packs must be made from a heavyduty plastic.</t>
  </si>
  <si>
    <t>https://www.alibaba.com/product-detail/Holographic-Waist-Bags-Women-Silver-Fanny_1600112078445.html?spm=a2700.themePage.1022759348278.29.69de233dqAgrlo</t>
  </si>
  <si>
    <t>This will sell all year-round and will probably be used once. However, quality is still important as the bride wants to impress her bridesmaids.</t>
  </si>
  <si>
    <t>Smart Weighted Hula Hoop for Adults</t>
  </si>
  <si>
    <t>https://www.amazon.com/s?k=Smart+Weighted+Hula+Hoop+for+Adults&amp;i=sporting&amp;ref=nb_sb_noss_2</t>
  </si>
  <si>
    <t>https://www.amazon.com/dp/B092Q18V7W</t>
  </si>
  <si>
    <t>2-in1 Ab Exercise Equipment &amp; Massager.
The most complete bundle of the category with an outstanding number of monthly sales.</t>
  </si>
  <si>
    <t>Very noisy</t>
  </si>
  <si>
    <t>Use a more powerful motor with insulation</t>
  </si>
  <si>
    <t>Hard uncomfortable material</t>
  </si>
  <si>
    <t>Utilise rubber padding</t>
  </si>
  <si>
    <t>Sizing is not correct - too small</t>
  </si>
  <si>
    <t>Provide an accurate measurement chart on your listing.</t>
  </si>
  <si>
    <t>Weak latching points</t>
  </si>
  <si>
    <t>Make sure latches are durable metal. Noit plastic.</t>
  </si>
  <si>
    <t>The product is noisy. Sizing is inaccurate.
The material is hard and uncomfortable.
The latches will break after time.</t>
  </si>
  <si>
    <t>Make use of a silent powerful motor.
Provide an accurate sizing chart on listing.
Utilise rubber padding on notches.
Make the latches out of durable metal.</t>
  </si>
  <si>
    <t>https://www.alibaba.com/product-detail/2-in-1-Fitness-Massage-Adjustable_1600232812286.html?spm=a2700.picsearch.offer-list.118.1c925f93IbflGF</t>
  </si>
  <si>
    <t>2.20462</t>
  </si>
  <si>
    <t>I believe this market will fill up quickly so it is important to get in early.</t>
  </si>
  <si>
    <t>Bamboo Ziplock Bag Storage Drawer</t>
  </si>
  <si>
    <t>https://www.amazon.com/s?k=Bamboo+Ziplock+Bag+Storage+drawer&amp;ref=nb_sb_noss_2</t>
  </si>
  <si>
    <t>https://www.amazon.com/dp/B09933XZMX</t>
  </si>
  <si>
    <t>Marketed as a Dispenser for Kitchen Drawers.
Customers love the concept, although there is room for improvement.</t>
  </si>
  <si>
    <t>Does not fit into kitchen drawer, measurements are incorrect.</t>
  </si>
  <si>
    <t>Make sure measurements are correct and consider adding different size units in order to accommodate a larger audience. This can be done by offering an expandable set.</t>
  </si>
  <si>
    <t>Very sharp edges that cut fingers</t>
  </si>
  <si>
    <t>Utilize rubber on the corners that will also act as grip when placed in the drawer to keep it from sliding around whilst resolving the potential danger of cutting customers.</t>
  </si>
  <si>
    <t>Has a funny smell to it.</t>
  </si>
  <si>
    <t>Seal the product so that any moisture the product comes into contact with doesn't cause it to smell. This will also look better than raw wood.</t>
  </si>
  <si>
    <t>Extremely high competition if not keyworded correctly due to similar products.</t>
  </si>
  <si>
    <t>Triple-check that the use of the correct keywords are used, such as: 'bamboo', 'kitchen drawer', 'dispenser', 'ziplock bag'</t>
  </si>
  <si>
    <t>The product is very new to the market. The teething problems are slowly being identified by customers which are: sharp edges, a funny smell &amp; incorrect sizing.</t>
  </si>
  <si>
    <t>Coat the product in a bamboo sealant. Place rubber corners on all edges of the product to resolve cutting danger and provide grip. Keyword extremely accurately. Offer an expandable set so that the the product will fit the customers drawer.</t>
  </si>
  <si>
    <t>https://www.alibaba.com/product-detail/Bamboo-Kitchen-Drawer-Cutlery-Tray-Expandable_1600274461632.html?spm=a2700.galleryofferlist.normal_offer.d_title.68eb3834f8gUHu&amp;s=p</t>
  </si>
  <si>
    <t>Eyelash Extension training Kit</t>
  </si>
  <si>
    <t>https://www.amazon.com/s?k=Eyelash+Extension+training+Kit&amp;ref=nb_sb_noss</t>
  </si>
  <si>
    <t>https://www.amazon.com/Gorota-Extension-Mannequin-Beginners-Eyelashes/dp/B08XB9J7R8/ref=sr_1_6?dchild=1&amp;keywords=Eyelash+Extension+training+Kit&amp;qid=1630700856&amp;sr=8-6</t>
  </si>
  <si>
    <t>Includes replaceable eyelids. Kit covers all proficiency levels.</t>
  </si>
  <si>
    <t>Key items missing from the set such as the blower, tweezers, replaceable eyelids.</t>
  </si>
  <si>
    <t>Conduct inspections with a 3rd party in order to maintain quality.</t>
  </si>
  <si>
    <t>Cheap and untested. Nothing sticks to the mannequin.</t>
  </si>
  <si>
    <t>Make sure all materials included in the set are durable and work together. All adhesive products must have the required stickyness to them. Provide a refill bottle of glue that could alleviate this problem.</t>
  </si>
  <si>
    <t>Tweezers are terrible.</t>
  </si>
  <si>
    <t>Include a high quality pair of tweezers as that is what the customer will be using most of the time.</t>
  </si>
  <si>
    <t>Mannequin head spins while working on it.</t>
  </si>
  <si>
    <t>Provide an anchor of sorts that beds down the mannequin. It does not have to be heavy, it just needs to keep the mannequin in one direction and sturdy.</t>
  </si>
  <si>
    <t>Many parts creates a high level of issues with the product. Materials are cheap &amp; untested. Mannequin won't stay put.</t>
  </si>
  <si>
    <t>Provide high quality materials. Provide replacement adhesive. Provide an anchor of sorts (or even an idea of an anchor).</t>
  </si>
  <si>
    <t>https://www.alibaba.com/product-detail/Pro-19pcs-False-Eyelashes-Extension-Practice_1600263257416.html?spm=a2700.galleryofferlist.normal_offer.d_title.637c15ffY4D1R0</t>
  </si>
  <si>
    <t>Long Reach Car Tools Kit</t>
  </si>
  <si>
    <t>https://www.amazon.com/s?k=long+reach+car+tools+kit&amp;ref=nb_sb_noss</t>
  </si>
  <si>
    <t>https://www.amazon.com/dp/B092M6PV6S</t>
  </si>
  <si>
    <t>Use of quality tools that don't break. Durable bag that can weather being used in bad weather conditions. Easy understanding on how to use tools.</t>
  </si>
  <si>
    <t>Tools break very easily.</t>
  </si>
  <si>
    <t>Use reinforced materials that will not break/snap/strip.</t>
  </si>
  <si>
    <t>Bag rips open easily.</t>
  </si>
  <si>
    <t>Consider using a nylon material bag.</t>
  </si>
  <si>
    <t>Missing items from the set that are vital.</t>
  </si>
  <si>
    <t>Wedge pumps do not work.</t>
  </si>
  <si>
    <t>Make sure the supplier can supply a wedge pump that can perform it's action.</t>
  </si>
  <si>
    <t>Weak and cheap items are by far the highest complaint by customers. Missing items are a common occurrence, along with tools that do not work.</t>
  </si>
  <si>
    <t>Offer a product that uses a durable bag, has reinforced tools that will not strip/bend/break. Conduct inspections beforehand and test wedge pump.</t>
  </si>
  <si>
    <t>https://www.alibaba.com/product-detail/Manufacturers-produce-customized-Unlock-Door-Open_1600291859713.html?spm=a2700.galleryofferlist.normal_offer.d_title.2a902d65icW20O</t>
  </si>
  <si>
    <t>Outselling higher review sellers at a solid price point because it includes stamp spheres, zen rake and sand brush. It has fixed issue of not having enough sand.</t>
  </si>
  <si>
    <t>https://www.alibaba.com/product-detail/Wind-Chimes-Outdoor-Deep-Tone-36_1600090180249.html?spm=a2700.galleryofferlist.normal_offer.d_title.42023330pyYL2K</t>
  </si>
  <si>
    <t>https://www.amazon.com/dp/B08W23TBWL/ref=twister_B08XLVBQ5F?_encoding=UTF8&amp;psc=1</t>
  </si>
  <si>
    <t>Gold Magnetic Gift Box 5 Pack</t>
  </si>
  <si>
    <t>https://www.amazon.com/s?k=gold+magnetic+gift+box+5+pack&amp;ref=nb_sb_noss</t>
  </si>
  <si>
    <t>https://www.amazon.com/dp/B07S5L5PL5</t>
  </si>
  <si>
    <t>Finished in glossy gold. Positioned as a bridesmaid/groomsmen box which further targets the product into the gift niche.</t>
  </si>
  <si>
    <t>The magnets did not provide a strong hold</t>
  </si>
  <si>
    <t>Use a stronger magnet than competitors</t>
  </si>
  <si>
    <t>Weak adhesive causing boxes to fray</t>
  </si>
  <si>
    <t>Either staple the boxes or use stronger adhesive</t>
  </si>
  <si>
    <t>Corners completely wrinkled</t>
  </si>
  <si>
    <t>Make sure packaging is solid and cannot be morphed. Strong cardboard would work.</t>
  </si>
  <si>
    <t>Cannot hold heavy items like wine.</t>
  </si>
  <si>
    <t>Consider a higher GSM for the printing of the boxes. (grams per square meter)</t>
  </si>
  <si>
    <t>Distorted boxes are the biggest problem, with frayed corners and disintegrating boxes. The boxes are not strong, neither is the magnet.</t>
  </si>
  <si>
    <t>Use a heavier GSM for the boxes, this will also address the fraying of the boxes. Use a strong magnet. Places boxes in shipping packaging that cannot morph.</t>
  </si>
  <si>
    <t>https://www.alibaba.com/product-detail/Luxury-eco-friendly-custom-book-shape_1600261135840.html?spm=a2700.galleryofferlist.normal_offer.d_title.39f86427K1SofI</t>
  </si>
  <si>
    <t>Guitar Tool Kit</t>
  </si>
  <si>
    <t>https://www.amazon.com/s?k=Guitar+Tool+Kit&amp;ref=nb_sb_noss_2</t>
  </si>
  <si>
    <t>https://www.amazon.com/dp/B08TX3TRZD</t>
  </si>
  <si>
    <t>Highest number of pieces in the kit at 72 selling at a great price point. Positioned as a gift to owners of: Acoustic Guitar, Electric Guitar, Ukulele, Bass, Banjo</t>
  </si>
  <si>
    <t>No instructions on how to use any of it</t>
  </si>
  <si>
    <t>Include instructions/e-book as a value add</t>
  </si>
  <si>
    <t>Cheaply made, bad machining of tools</t>
  </si>
  <si>
    <t>Use a durable lightweight metal like aluminum</t>
  </si>
  <si>
    <t>Cheap flimsy cloth case with cardboard inside</t>
  </si>
  <si>
    <t>Use high quality wood case with padded inner for great opening experience and great protection</t>
  </si>
  <si>
    <t>Tools are too short to reach some guitar spaces</t>
  </si>
  <si>
    <t>Be sure to do an inspection on units and measure tools with pro guitarist beforehand</t>
  </si>
  <si>
    <t>Weak metals and incorrect tool lengths leave buyers frustrated. Other buyers angered at damaging guitars with tools falling out of tool case.</t>
  </si>
  <si>
    <t>Use aluminum tools that are measured to the correct length.
Use a wooden box with a padded inside and moulds for tools so they stay in place.</t>
  </si>
  <si>
    <t>https://www.alibaba.com/product-detail/Factory-Hot-Sale-Multifunction-15-pieces_62460748998.html?spm=a2700.galleryofferlist.normal_offer.d_title.a7fa414cQ0OOin
https://www.alibaba.com/product-detail/Box-Wooden-Wooden-Wood-Boxes-Unfinished_1600204559132.html?spm=a2700.galleryofferlist.topad_creative.d_title.1b9f4507Dtbdjg</t>
  </si>
  <si>
    <t>Profit margin here is variable. Manufacturing cost is just an estimation here as we would be creating a brand new type of product.</t>
  </si>
  <si>
    <t>TOP 10 POTENTIAL PRODUCTS OF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</si>
</sst>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0.00_-;\-&quot;R&quot;* #,##0.00_-;_-&quot;R&quot;* &quot;-&quot;??_-;_-@_-"/>
    <numFmt numFmtId="164" formatCode="_-[$$-409]* #,##0.00_ ;_-[$$-409]* \-#,##0.00\ ;_-[$$-409]* &quot;-&quot;??_ ;_-@_ "/>
  </numFmts>
  <fonts count="25"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rgb="FFFA7D00"/>
      <name val="Calibri"/>
      <family val="2"/>
      <scheme val="minor"/>
    </font>
    <font>
      <sz val="11"/>
      <color theme="0"/>
      <name val="Calibri"/>
      <family val="2"/>
      <scheme val="minor"/>
    </font>
    <font>
      <sz val="11"/>
      <color theme="1"/>
      <name val="Calibri"/>
      <family val="2"/>
    </font>
    <font>
      <u/>
      <sz val="10"/>
      <color theme="10"/>
      <name val="Arial"/>
      <family val="2"/>
    </font>
    <font>
      <sz val="10"/>
      <color rgb="FF000000"/>
      <name val="Arial"/>
      <family val="2"/>
    </font>
    <font>
      <b/>
      <sz val="10"/>
      <color rgb="FF000000"/>
      <name val="Arial"/>
      <family val="2"/>
    </font>
    <font>
      <b/>
      <sz val="11"/>
      <color theme="1"/>
      <name val="Calibri"/>
      <family val="2"/>
      <scheme val="minor"/>
    </font>
    <font>
      <b/>
      <sz val="11"/>
      <color theme="1"/>
      <name val="Roboto"/>
    </font>
    <font>
      <sz val="11"/>
      <color theme="1" tint="0.34998626667073579"/>
      <name val="Calibri"/>
      <family val="2"/>
      <scheme val="minor"/>
    </font>
    <font>
      <sz val="8"/>
      <name val="Calibri"/>
      <family val="2"/>
      <scheme val="minor"/>
    </font>
    <font>
      <b/>
      <sz val="9"/>
      <color indexed="81"/>
      <name val="Tahoma"/>
      <family val="2"/>
    </font>
    <font>
      <sz val="11"/>
      <color theme="1"/>
      <name val="Calibri"/>
      <family val="2"/>
      <scheme val="minor"/>
    </font>
    <font>
      <b/>
      <sz val="9"/>
      <color rgb="FF000000"/>
      <name val="Tahoma"/>
      <family val="2"/>
    </font>
    <font>
      <b/>
      <sz val="11"/>
      <color rgb="FF000000"/>
      <name val="Calibri"/>
      <family val="2"/>
      <scheme val="minor"/>
    </font>
    <font>
      <b/>
      <sz val="12"/>
      <color theme="1"/>
      <name val="Roboto"/>
    </font>
    <font>
      <b/>
      <sz val="14"/>
      <color theme="1"/>
      <name val="Roboto"/>
    </font>
    <font>
      <u/>
      <sz val="10"/>
      <color theme="0"/>
      <name val="Roboto"/>
    </font>
    <font>
      <b/>
      <sz val="11"/>
      <color theme="0"/>
      <name val="Roboto"/>
    </font>
    <font>
      <sz val="10"/>
      <color theme="0"/>
      <name val="Roboto"/>
    </font>
    <font>
      <sz val="10"/>
      <color theme="1"/>
      <name val="Calibri"/>
      <family val="2"/>
      <scheme val="minor"/>
    </font>
    <font>
      <u/>
      <sz val="10"/>
      <color theme="0"/>
      <name val="Arial"/>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4"/>
      </patternFill>
    </fill>
    <fill>
      <patternFill patternType="solid">
        <fgColor theme="6"/>
      </patternFill>
    </fill>
    <fill>
      <patternFill patternType="solid">
        <fgColor theme="9"/>
      </patternFill>
    </fill>
    <fill>
      <patternFill patternType="solid">
        <fgColor rgb="FFFFC000"/>
        <bgColor rgb="FFFFC000"/>
      </patternFill>
    </fill>
    <fill>
      <patternFill patternType="solid">
        <fgColor theme="7"/>
      </patternFill>
    </fill>
    <fill>
      <patternFill patternType="solid">
        <fgColor rgb="FFFF9C00"/>
        <bgColor indexed="64"/>
      </patternFill>
    </fill>
    <fill>
      <patternFill patternType="solid">
        <fgColor rgb="FF008080"/>
        <bgColor indexed="64"/>
      </patternFill>
    </fill>
    <fill>
      <patternFill patternType="solid">
        <fgColor theme="1" tint="0.34998626667073579"/>
        <bgColor indexed="64"/>
      </patternFill>
    </fill>
    <fill>
      <patternFill patternType="solid">
        <fgColor theme="2" tint="-0.499984740745262"/>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s>
  <cellStyleXfs count="1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7" fillId="0" borderId="0" applyNumberFormat="0" applyFill="0" applyBorder="0" applyAlignment="0" applyProtection="0"/>
    <xf numFmtId="0" fontId="5" fillId="10" borderId="0" applyNumberFormat="0" applyBorder="0" applyAlignment="0" applyProtection="0"/>
    <xf numFmtId="44"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cellStyleXfs>
  <cellXfs count="102">
    <xf numFmtId="0" fontId="0" fillId="0" borderId="0" xfId="0"/>
    <xf numFmtId="0" fontId="12" fillId="0" borderId="0" xfId="0" applyFont="1" applyAlignment="1">
      <alignment horizontal="center" vertical="center" wrapText="1"/>
    </xf>
    <xf numFmtId="0" fontId="0" fillId="0" borderId="0" xfId="0" applyNumberFormat="1"/>
    <xf numFmtId="0" fontId="0" fillId="0" borderId="0" xfId="0" applyFont="1" applyAlignment="1">
      <alignment vertical="center"/>
    </xf>
    <xf numFmtId="0" fontId="0" fillId="0" borderId="0" xfId="0" applyAlignment="1">
      <alignment wrapText="1"/>
    </xf>
    <xf numFmtId="164" fontId="0" fillId="0" borderId="0" xfId="10" applyNumberFormat="1" applyFont="1"/>
    <xf numFmtId="164" fontId="7" fillId="0" borderId="0" xfId="10" applyNumberFormat="1" applyFont="1" applyAlignment="1">
      <alignment horizontal="center" vertical="center" wrapText="1"/>
    </xf>
    <xf numFmtId="0" fontId="12" fillId="0" borderId="0" xfId="0" applyFont="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7" fillId="0" borderId="0" xfId="8" applyAlignment="1">
      <alignment horizontal="center" vertical="center"/>
    </xf>
    <xf numFmtId="0" fontId="8" fillId="0" borderId="0" xfId="0" applyFont="1" applyAlignment="1">
      <alignment horizontal="center" vertical="center" wrapText="1"/>
    </xf>
    <xf numFmtId="164" fontId="8" fillId="0" borderId="0" xfId="0" applyNumberFormat="1" applyFont="1" applyAlignment="1">
      <alignment horizontal="center" vertical="center"/>
    </xf>
    <xf numFmtId="164" fontId="0" fillId="0" borderId="0" xfId="10" applyNumberFormat="1" applyFont="1" applyAlignment="1">
      <alignment horizontal="center" vertical="center"/>
    </xf>
    <xf numFmtId="0" fontId="6" fillId="9" borderId="0" xfId="0" applyFont="1" applyFill="1" applyAlignment="1">
      <alignment horizontal="center" vertical="center"/>
    </xf>
    <xf numFmtId="0" fontId="5" fillId="6" borderId="0" xfId="5" applyAlignment="1">
      <alignment horizontal="center" vertical="center"/>
    </xf>
    <xf numFmtId="0" fontId="5" fillId="8" borderId="0" xfId="7" applyAlignment="1">
      <alignment horizontal="center" vertical="center"/>
    </xf>
    <xf numFmtId="0" fontId="5" fillId="7" borderId="0" xfId="6" applyAlignment="1">
      <alignment horizontal="center" vertical="center"/>
    </xf>
    <xf numFmtId="0" fontId="2" fillId="3" borderId="0" xfId="2" applyAlignment="1">
      <alignment horizontal="center" vertical="center"/>
    </xf>
    <xf numFmtId="0" fontId="1" fillId="2" borderId="0" xfId="1" applyAlignment="1">
      <alignment horizontal="center" vertical="center"/>
    </xf>
    <xf numFmtId="0" fontId="3" fillId="4" borderId="0" xfId="3" applyAlignment="1">
      <alignment horizontal="center" vertical="center"/>
    </xf>
    <xf numFmtId="0" fontId="4" fillId="5" borderId="1" xfId="4" applyAlignment="1">
      <alignment horizontal="center" vertical="center"/>
    </xf>
    <xf numFmtId="164" fontId="4" fillId="5" borderId="1" xfId="10" applyNumberFormat="1" applyFont="1" applyFill="1" applyBorder="1" applyAlignment="1">
      <alignment horizontal="center" vertical="center"/>
    </xf>
    <xf numFmtId="0" fontId="1" fillId="2" borderId="0" xfId="1" quotePrefix="1" applyAlignment="1">
      <alignment horizontal="center" vertical="center"/>
    </xf>
    <xf numFmtId="0" fontId="5" fillId="10" borderId="0" xfId="9" applyAlignment="1">
      <alignment horizontal="center" vertical="center"/>
    </xf>
    <xf numFmtId="0" fontId="0" fillId="0" borderId="0" xfId="0" applyNumberFormat="1" applyFont="1" applyAlignment="1">
      <alignment vertical="center"/>
    </xf>
    <xf numFmtId="0" fontId="0" fillId="14" borderId="0" xfId="0" applyFill="1"/>
    <xf numFmtId="0" fontId="0" fillId="14" borderId="0" xfId="0" applyNumberFormat="1" applyFill="1"/>
    <xf numFmtId="2" fontId="8" fillId="0" borderId="0" xfId="0" applyNumberFormat="1" applyFont="1" applyAlignment="1">
      <alignment horizontal="center" vertical="center"/>
    </xf>
    <xf numFmtId="2" fontId="0" fillId="0" borderId="0" xfId="0" applyNumberFormat="1"/>
    <xf numFmtId="0" fontId="12" fillId="0" borderId="0" xfId="0" applyFont="1" applyFill="1" applyAlignment="1">
      <alignment horizontal="center" vertical="center" wrapText="1"/>
    </xf>
    <xf numFmtId="0" fontId="0" fillId="0" borderId="0" xfId="0" applyAlignment="1">
      <alignment horizontal="center" vertical="center" wrapText="1"/>
    </xf>
    <xf numFmtId="0" fontId="7" fillId="0" borderId="0" xfId="8" applyAlignment="1">
      <alignment horizontal="center" vertical="center" wrapText="1"/>
    </xf>
    <xf numFmtId="164" fontId="8" fillId="0" borderId="0" xfId="0" applyNumberFormat="1" applyFont="1" applyAlignment="1">
      <alignment horizontal="center" vertical="center" wrapText="1"/>
    </xf>
    <xf numFmtId="2" fontId="8" fillId="0" borderId="0" xfId="0" applyNumberFormat="1" applyFont="1" applyAlignment="1">
      <alignment horizontal="center" vertical="center" wrapText="1"/>
    </xf>
    <xf numFmtId="2" fontId="0" fillId="0" borderId="0" xfId="0" applyNumberFormat="1" applyAlignment="1">
      <alignment horizontal="center" vertical="center" wrapText="1"/>
    </xf>
    <xf numFmtId="0" fontId="8" fillId="0" borderId="0" xfId="0" applyFont="1" applyFill="1" applyAlignment="1">
      <alignment horizontal="center" vertical="center"/>
    </xf>
    <xf numFmtId="0" fontId="7" fillId="0" borderId="0" xfId="8" applyFill="1" applyAlignment="1">
      <alignment horizontal="center" vertical="center"/>
    </xf>
    <xf numFmtId="0" fontId="8" fillId="0" borderId="0" xfId="0" applyFont="1" applyFill="1" applyAlignment="1">
      <alignment horizontal="center" vertical="center" wrapText="1"/>
    </xf>
    <xf numFmtId="164" fontId="8" fillId="0" borderId="0" xfId="0" applyNumberFormat="1" applyFont="1" applyFill="1" applyAlignment="1">
      <alignment horizontal="center" vertical="center"/>
    </xf>
    <xf numFmtId="0" fontId="8" fillId="0" borderId="2" xfId="0" applyFont="1" applyFill="1" applyBorder="1" applyAlignment="1">
      <alignment horizontal="center" vertical="center"/>
    </xf>
    <xf numFmtId="2" fontId="8" fillId="0" borderId="0" xfId="0" applyNumberFormat="1" applyFont="1" applyFill="1" applyAlignment="1">
      <alignment horizontal="center" vertical="center"/>
    </xf>
    <xf numFmtId="2" fontId="9" fillId="0" borderId="0" xfId="0" applyNumberFormat="1" applyFont="1" applyFill="1" applyAlignment="1">
      <alignment horizontal="center" vertical="center"/>
    </xf>
    <xf numFmtId="164" fontId="8" fillId="0" borderId="0" xfId="10" applyNumberFormat="1" applyFont="1" applyFill="1" applyAlignment="1">
      <alignment horizontal="center" vertical="center"/>
    </xf>
    <xf numFmtId="10" fontId="8" fillId="0" borderId="0" xfId="11" applyNumberFormat="1" applyFont="1" applyFill="1" applyAlignment="1">
      <alignment horizontal="center" vertical="center"/>
    </xf>
    <xf numFmtId="9" fontId="17" fillId="0" borderId="0" xfId="11" applyFont="1" applyFill="1" applyAlignment="1">
      <alignment horizontal="center" vertical="center"/>
    </xf>
    <xf numFmtId="0" fontId="0" fillId="0" borderId="0" xfId="0" applyFill="1" applyAlignment="1">
      <alignment horizontal="center" vertical="center"/>
    </xf>
    <xf numFmtId="0"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7" fillId="0" borderId="0" xfId="8" applyAlignment="1">
      <alignment horizontal="center" vertical="center"/>
    </xf>
    <xf numFmtId="0" fontId="8" fillId="0" borderId="0" xfId="0" applyFont="1" applyAlignment="1">
      <alignment horizontal="center" vertical="center" wrapText="1"/>
    </xf>
    <xf numFmtId="164" fontId="8" fillId="0" borderId="0" xfId="0" applyNumberFormat="1" applyFont="1" applyAlignment="1">
      <alignment horizontal="center" vertical="center"/>
    </xf>
    <xf numFmtId="0" fontId="0" fillId="0" borderId="0" xfId="0" applyAlignment="1">
      <alignment horizontal="center" vertical="center" wrapText="1"/>
    </xf>
    <xf numFmtId="0" fontId="21" fillId="12" borderId="0" xfId="0" applyFont="1" applyFill="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7" fillId="0" borderId="0" xfId="8" applyAlignment="1">
      <alignment horizontal="center" vertical="center"/>
    </xf>
    <xf numFmtId="0" fontId="8" fillId="0" borderId="0" xfId="0" applyFont="1" applyAlignment="1">
      <alignment horizontal="center" vertical="center" wrapText="1"/>
    </xf>
    <xf numFmtId="164" fontId="8" fillId="0" borderId="0" xfId="0" applyNumberFormat="1" applyFont="1" applyAlignment="1">
      <alignment horizontal="center" vertical="center"/>
    </xf>
    <xf numFmtId="164"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7" fillId="0" borderId="0" xfId="8" applyAlignment="1">
      <alignment horizontal="center" vertical="center" wrapText="1"/>
    </xf>
    <xf numFmtId="164" fontId="8" fillId="0" borderId="0" xfId="0" applyNumberFormat="1" applyFont="1" applyAlignment="1">
      <alignment horizontal="center" vertical="center" wrapText="1"/>
    </xf>
    <xf numFmtId="2" fontId="8" fillId="0" borderId="0" xfId="0" applyNumberFormat="1"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7" fillId="0" borderId="0" xfId="8" applyAlignment="1">
      <alignment horizontal="center" vertical="center"/>
    </xf>
    <xf numFmtId="0" fontId="8" fillId="0" borderId="0" xfId="0" applyFont="1" applyAlignment="1">
      <alignment horizontal="center" vertical="center" wrapText="1"/>
    </xf>
    <xf numFmtId="164" fontId="8" fillId="0" borderId="0" xfId="0" applyNumberFormat="1" applyFont="1" applyAlignment="1">
      <alignment horizontal="center" vertical="center"/>
    </xf>
    <xf numFmtId="0" fontId="11" fillId="12" borderId="0" xfId="0" applyFont="1" applyFill="1" applyAlignment="1">
      <alignment horizontal="center" vertical="center"/>
    </xf>
    <xf numFmtId="0" fontId="18" fillId="12" borderId="0" xfId="0" applyFont="1" applyFill="1" applyAlignment="1">
      <alignment horizontal="center" vertical="center"/>
    </xf>
    <xf numFmtId="0" fontId="19" fillId="12" borderId="0" xfId="0" applyFont="1" applyFill="1" applyAlignment="1">
      <alignment horizontal="center" vertical="center"/>
    </xf>
    <xf numFmtId="0" fontId="20" fillId="12" borderId="0" xfId="8" applyFont="1" applyFill="1" applyAlignment="1">
      <alignment horizontal="center" vertical="center"/>
    </xf>
    <xf numFmtId="0" fontId="0" fillId="12" borderId="0" xfId="0" applyFill="1" applyAlignment="1">
      <alignment horizontal="center" vertical="center"/>
    </xf>
    <xf numFmtId="0" fontId="0" fillId="13" borderId="0" xfId="0" applyFill="1" applyAlignment="1">
      <alignment horizontal="center" vertical="center"/>
    </xf>
    <xf numFmtId="0" fontId="20" fillId="11" borderId="0" xfId="8" applyFont="1" applyFill="1" applyAlignment="1">
      <alignment horizontal="center" vertical="center"/>
    </xf>
    <xf numFmtId="0" fontId="23" fillId="13" borderId="0" xfId="0" applyFont="1" applyFill="1" applyAlignment="1">
      <alignment horizontal="center" vertical="center"/>
    </xf>
    <xf numFmtId="0" fontId="21" fillId="11" borderId="0" xfId="0" applyFont="1" applyFill="1" applyAlignment="1">
      <alignment horizontal="center" vertical="center"/>
    </xf>
    <xf numFmtId="2" fontId="8" fillId="0" borderId="0" xfId="0" applyNumberFormat="1" applyFont="1" applyAlignment="1">
      <alignment horizontal="center" vertical="center"/>
    </xf>
    <xf numFmtId="0" fontId="0" fillId="0" borderId="0" xfId="0" applyAlignment="1">
      <alignment horizontal="center" vertical="center" wrapText="1"/>
    </xf>
    <xf numFmtId="0" fontId="7" fillId="0" borderId="0" xfId="8" applyAlignment="1">
      <alignment horizontal="center" vertical="center" wrapText="1"/>
    </xf>
    <xf numFmtId="164" fontId="8" fillId="0" borderId="0" xfId="0" applyNumberFormat="1" applyFont="1" applyAlignment="1">
      <alignment horizontal="center" vertical="center" wrapText="1"/>
    </xf>
    <xf numFmtId="2" fontId="8" fillId="0" borderId="0" xfId="0" applyNumberFormat="1" applyFont="1" applyAlignment="1">
      <alignment horizontal="center" vertical="center" wrapText="1"/>
    </xf>
    <xf numFmtId="2" fontId="0" fillId="0" borderId="0" xfId="0" applyNumberFormat="1" applyAlignment="1">
      <alignment horizontal="center" vertical="center" wrapText="1"/>
    </xf>
    <xf numFmtId="0" fontId="22" fillId="11" borderId="0" xfId="0" applyFont="1" applyFill="1" applyAlignment="1">
      <alignment horizontal="center" vertical="center" wrapText="1"/>
    </xf>
    <xf numFmtId="0" fontId="5" fillId="12" borderId="0" xfId="0" applyFont="1" applyFill="1" applyAlignment="1">
      <alignment vertical="center"/>
    </xf>
    <xf numFmtId="0" fontId="5" fillId="12" borderId="0" xfId="0" applyFont="1" applyFill="1" applyAlignment="1">
      <alignment horizontal="center" vertical="center"/>
    </xf>
    <xf numFmtId="0" fontId="24" fillId="12" borderId="0" xfId="8" applyFont="1" applyFill="1" applyAlignment="1">
      <alignment horizontal="center" vertical="center"/>
    </xf>
    <xf numFmtId="0" fontId="5" fillId="12" borderId="0" xfId="0" applyFont="1" applyFill="1" applyAlignment="1">
      <alignment horizontal="center" vertical="center" wrapText="1"/>
    </xf>
    <xf numFmtId="0" fontId="12" fillId="0" borderId="0" xfId="0" applyFont="1" applyAlignment="1">
      <alignment horizontal="center" vertical="center" wrapText="1"/>
    </xf>
    <xf numFmtId="0" fontId="7" fillId="0" borderId="0" xfId="8" applyAlignment="1">
      <alignment horizontal="center" vertical="center"/>
    </xf>
    <xf numFmtId="0" fontId="8" fillId="0" borderId="0" xfId="0" applyFont="1" applyAlignment="1">
      <alignment horizontal="center" vertical="center" wrapText="1"/>
    </xf>
    <xf numFmtId="164" fontId="8" fillId="0" borderId="0" xfId="0" applyNumberFormat="1" applyFont="1" applyAlignment="1">
      <alignment horizontal="center" vertical="center"/>
    </xf>
    <xf numFmtId="0" fontId="0" fillId="0" borderId="0" xfId="0" applyAlignment="1">
      <alignment horizontal="center" vertical="center" wrapText="1"/>
    </xf>
  </cellXfs>
  <cellStyles count="14">
    <cellStyle name="Accent1" xfId="5" builtinId="29"/>
    <cellStyle name="Accent3" xfId="6" builtinId="37"/>
    <cellStyle name="Accent4" xfId="9" builtinId="41"/>
    <cellStyle name="Accent6" xfId="7" builtinId="49"/>
    <cellStyle name="Bad" xfId="2" builtinId="27"/>
    <cellStyle name="Calculation" xfId="4" builtinId="22"/>
    <cellStyle name="Currency" xfId="10" builtinId="4"/>
    <cellStyle name="Currency 2" xfId="12" xr:uid="{A7C8F7C3-7C0B-46BF-85C2-482BF32C84EC}"/>
    <cellStyle name="Currency 3" xfId="13" xr:uid="{E9FE550D-8B72-4E6D-987A-34C239EE5AF0}"/>
    <cellStyle name="Good" xfId="1" builtinId="26"/>
    <cellStyle name="Hyperlink" xfId="8" builtinId="8"/>
    <cellStyle name="Neutral" xfId="3" builtinId="28"/>
    <cellStyle name="Normal" xfId="0" builtinId="0"/>
    <cellStyle name="Percent" xfId="11" builtinId="5"/>
  </cellStyles>
  <dxfs count="76">
    <dxf>
      <numFmt numFmtId="0" formatCode="General"/>
    </dxf>
    <dxf>
      <numFmt numFmtId="164" formatCode="_-[$$-409]* #,##0.00_ ;_-[$$-409]* \-#,##0.00\ ;_-[$$-409]* &quot;-&quot;??_ ;_-@_ "/>
    </dxf>
    <dxf>
      <numFmt numFmtId="0" formatCode="General"/>
    </dxf>
    <dxf>
      <numFmt numFmtId="0" formatCode="General"/>
    </dxf>
    <dxf>
      <numFmt numFmtId="0" formatCode="General"/>
    </dxf>
    <dxf>
      <numFmt numFmtId="0" formatCode="General"/>
    </dxf>
    <dxf>
      <numFmt numFmtId="0" formatCode="General"/>
    </dxf>
    <dxf>
      <font>
        <strike val="0"/>
        <outline val="0"/>
        <shadow val="0"/>
        <u val="none"/>
        <vertAlign val="baseline"/>
        <name val="Calibri"/>
        <family val="2"/>
        <scheme val="minor"/>
      </font>
      <numFmt numFmtId="0" formatCode="General"/>
      <alignment horizontal="general" vertical="center" textRotation="0" wrapText="0" indent="0" justifyLastLine="0" shrinkToFit="0" readingOrder="0"/>
    </dxf>
    <dxf>
      <fill>
        <patternFill patternType="solid">
          <fgColor indexed="64"/>
          <bgColor rgb="FF008080"/>
        </patternFill>
      </fill>
      <alignment vertical="center" textRotation="0" indent="0" justifyLastLine="0" shrinkToFit="0" readingOrder="0"/>
    </dxf>
    <dxf>
      <fill>
        <patternFill patternType="solid">
          <fgColor indexed="64"/>
          <bgColor rgb="FF008080"/>
        </patternFill>
      </fill>
      <alignment vertical="center" textRotation="0" indent="0" justifyLastLine="0" shrinkToFit="0" readingOrder="0"/>
    </dxf>
    <dxf>
      <font>
        <b/>
        <i val="0"/>
        <strike val="0"/>
        <condense val="0"/>
        <extend val="0"/>
        <outline val="0"/>
        <shadow val="0"/>
        <u val="none"/>
        <vertAlign val="baseline"/>
        <sz val="11"/>
        <color theme="1"/>
        <name val="Roboto"/>
        <scheme val="none"/>
      </font>
      <fill>
        <patternFill patternType="solid">
          <fgColor indexed="64"/>
          <bgColor rgb="FF008080"/>
        </patternFill>
      </fill>
      <alignment horizontal="center" vertical="center" textRotation="0" wrapText="0" indent="0" justifyLastLine="0" shrinkToFit="0" readingOrder="0"/>
    </dxf>
    <dxf>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indent="0" justifyLastLine="0" shrinkToFit="0" readingOrder="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indent="0" justifyLastLine="0" shrinkToFit="0" readingOrder="0"/>
    </dxf>
    <dxf>
      <font>
        <b/>
        <i val="0"/>
        <strike val="0"/>
        <condense val="0"/>
        <extend val="0"/>
        <outline val="0"/>
        <shadow val="0"/>
        <u val="none"/>
        <vertAlign val="baseline"/>
        <sz val="10"/>
        <color rgb="FF000000"/>
        <name val="Arial"/>
        <family val="2"/>
        <scheme val="none"/>
      </font>
      <numFmt numFmtId="0" formatCode="General"/>
      <alignment horizontal="center" vertical="center" textRotation="0" indent="0" justifyLastLine="0" shrinkToFit="0" readingOrder="0"/>
    </dxf>
    <dxf>
      <font>
        <b/>
        <i val="0"/>
        <strike val="0"/>
        <condense val="0"/>
        <extend val="0"/>
        <outline val="0"/>
        <shadow val="0"/>
        <u val="none"/>
        <vertAlign val="baseline"/>
        <sz val="11"/>
        <color theme="1"/>
        <name val="Calibri"/>
        <family val="2"/>
        <scheme val="minor"/>
      </font>
      <numFmt numFmtId="0" formatCode="General"/>
      <alignment horizontal="center" vertical="center" textRotation="0" indent="0" justifyLastLine="0" shrinkToFit="0" readingOrder="0"/>
    </dxf>
    <dxf>
      <numFmt numFmtId="17" formatCode="#&quot; &quot;?/?"/>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font>
        <b/>
        <i val="0"/>
        <strike val="0"/>
        <condense val="0"/>
        <extend val="0"/>
        <outline val="0"/>
        <shadow val="0"/>
        <u val="none"/>
        <vertAlign val="baseline"/>
        <sz val="10"/>
        <color rgb="FF000000"/>
        <name val="Arial"/>
        <family val="2"/>
        <scheme val="none"/>
      </font>
      <numFmt numFmtId="13" formatCode="0%"/>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164" formatCode="_-[$$-409]* #,##0.00_ ;_-[$$-409]* \-#,##0.00\ ;_-[$$-409]* &quot;-&quot;??_ ;_-@_ "/>
      <alignment horizontal="center" vertical="center" textRotation="0" indent="0" justifyLastLine="0" shrinkToFit="0" readingOrder="0"/>
    </dxf>
    <dxf>
      <font>
        <b/>
      </font>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alignment horizontal="center" vertical="center" textRotation="0" indent="0" justifyLastLine="0" shrinkToFit="0" readingOrder="0"/>
    </dxf>
    <dxf>
      <numFmt numFmtId="0" formatCode="General"/>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4" formatCode="_-[$$-409]* #,##0.00_ ;_-[$$-409]* \-#,##0.00\ ;_-[$$-409]* &quot;-&quot;??_ ;_-@_ "/>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4" formatCode="_-[$$-409]* #,##0.00_ ;_-[$$-409]* \-#,##0.00\ ;_-[$$-409]* &quot;-&quot;??_ ;_-@_ "/>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4" formatCode="_-[$$-409]* #,##0.00_ ;_-[$$-409]* \-#,##0.00\ ;_-[$$-409]* &quot;-&quot;??_ ;_-@_ "/>
      <alignment horizontal="center" vertical="center" textRotation="0" wrapText="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numFmt numFmtId="0" formatCode="General"/>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sz val="10"/>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tint="0.34998626667073579"/>
        <name val="Calibri"/>
        <family val="2"/>
        <scheme val="minor"/>
      </font>
      <numFmt numFmtId="0" formatCode="General"/>
      <alignment horizontal="center" vertical="center" textRotation="0" wrapText="1" indent="0" justifyLastLine="0" shrinkToFit="0" readingOrder="0"/>
    </dxf>
    <dxf>
      <numFmt numFmtId="0" formatCode="General"/>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1"/>
        <color theme="1"/>
        <name val="Calibri"/>
        <scheme val="none"/>
      </font>
      <fill>
        <patternFill patternType="solid">
          <fgColor rgb="FFFFC000"/>
          <bgColor rgb="FFFFC000"/>
        </patternFill>
      </fill>
      <alignment horizontal="center" vertical="center" textRotation="0" wrapText="0" indent="0" justifyLastLine="0" shrinkToFit="0" readingOrder="0"/>
    </dxf>
  </dxfs>
  <tableStyles count="0" defaultTableStyle="TableStyleMedium2" defaultPivotStyle="PivotStyleLight16"/>
  <colors>
    <mruColors>
      <color rgb="FFFF9C0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84C22F-DD93-45E9-85E7-FFEA379C9216}" name="Table134" displayName="Table134" ref="B1:BL25" totalsRowShown="0" headerRowDxfId="75" dataDxfId="74">
  <autoFilter ref="B1:BL25" xr:uid="{AE84C22F-DD93-45E9-85E7-FFEA379C9216}"/>
  <tableColumns count="63">
    <tableColumn id="1" xr3:uid="{7501FE69-C825-4C56-B6DA-406ACEF7ADB3}" name="Keyword" dataDxfId="73"/>
    <tableColumn id="2" xr3:uid="{7899D39E-B9A0-4292-A4CC-937BA8B31E92}" name="Keyword URL" dataDxfId="72"/>
    <tableColumn id="13" xr3:uid="{389DDD95-EBA1-4929-818A-16EDCE1F0952}" name="Your customer favorite to follow" dataDxfId="71" dataCellStyle="Hyperlink"/>
    <tableColumn id="14" xr3:uid="{6A9D387E-A511-4F7F-B08A-F433762727BA}" name="Why is this customer favorite?" dataDxfId="70"/>
    <tableColumn id="3" xr3:uid="{88F03D6A-448D-4535-A8DF-C271C8A77296}" name="Page 1 Average Price" dataDxfId="69"/>
    <tableColumn id="42" xr3:uid="{EA6E1901-93C8-4C0D-B415-DB18E1212FC0}" name="Customer Favorite Price" dataDxfId="68"/>
    <tableColumn id="45" xr3:uid="{BD95786D-4982-49E1-8A00-8FDD469BBBDB}" name="Price above $30?" dataDxfId="67"/>
    <tableColumn id="4" xr3:uid="{4EE7735E-AD02-4611-A3A1-FDEFCB5CC32C}" name="Page 1 Average Monthly Sales" dataDxfId="66"/>
    <tableColumn id="43" xr3:uid="{8855AC6C-7F66-464D-82E2-5B38C577CBF7}" name="Customer Favorite Monthly Sales" dataDxfId="65"/>
    <tableColumn id="44" xr3:uid="{C0192D5B-0597-4382-A63C-57944BF2BA95}" name="Monthly Sales above 300?" dataDxfId="64"/>
    <tableColumn id="49" xr3:uid="{92DF4261-3A6A-4CB8-90DF-45A6072D88BF}" name="Page 1 Average Reviews" dataDxfId="63"/>
    <tableColumn id="47" xr3:uid="{B49E324A-4313-47B1-9230-736A2E9A5295}" name="Customer Favorite Reviews" dataDxfId="62"/>
    <tableColumn id="5" xr3:uid="{0B5B5C88-75FF-4264-8B3F-64C7DE2817A0}" name="2 x Page 1 &gt;100 Reviews &lt;300 Sales" dataDxfId="61"/>
    <tableColumn id="6" xr3:uid="{C8FA9860-2A50-4CFE-9774-3858E484BA33}" name="Customer Favorite weight" dataDxfId="60"/>
    <tableColumn id="34" xr3:uid="{6BB48E38-9652-1B43-B2F7-DBE98878FE23}" name="Is Customer Favorite weight under 4,75lbs?" dataDxfId="59"/>
    <tableColumn id="51" xr3:uid="{4A081AD1-6A6E-46AD-B2F7-152C5DB241C9}" name="Customer Favorite Length" dataDxfId="58"/>
    <tableColumn id="52" xr3:uid="{9E41BF6C-0FFF-4B33-8039-1D74CED2E6F6}" name="Customer Favorite Width" dataDxfId="57"/>
    <tableColumn id="53" xr3:uid="{66E87601-61DC-4CC6-ABB4-F5E48B81CC45}" name="Customer Favorite Height" dataDxfId="56"/>
    <tableColumn id="7" xr3:uid="{405D823B-BAF5-481D-9D73-C3C881025C43}" name="Customer Favorite Size beneath LSS (18 X 14 X 8)?" dataDxfId="55">
      <calculatedColumnFormula>IF(AND(Table134[[#This Row],[Customer Favorite Length]]&lt;=18,Table134[[#This Row],[Customer Favorite Width]]&lt;=14,Table134[[#This Row],[Customer Favorite Height]]&lt;=8),"YES","NO")</calculatedColumnFormula>
    </tableColumn>
    <tableColumn id="40" xr3:uid="{DCBF3F12-53BA-4E71-8085-F3DFFF575F1F}" name="Customer Favorite Product Size Tier" dataDxfId="54">
      <calculatedColumnFormula>'Fulfilment Fee List'!B1</calculatedColumnFormula>
    </tableColumn>
    <tableColumn id="11" xr3:uid="{57BD8F61-DAF1-44ED-AD67-E725AE333E22}" name="Has High Development Potential?" dataDxfId="53"/>
    <tableColumn id="8" xr3:uid="{04C192ED-A279-4FC9-B747-0446FB3C65DA}" name="Is it Seasonal?" dataDxfId="52"/>
    <tableColumn id="9" xr3:uid="{63075CB6-6C3C-4661-9B57-9548E4E4C954}" name="Is it Dangerous/PPE?" dataDxfId="51"/>
    <tableColumn id="10" xr3:uid="{F05D4CAA-9E34-41AD-AF80-7DED31A88009}" name="Is there Big Brand competition?" dataDxfId="50"/>
    <tableColumn id="12" xr3:uid="{2C61E086-2639-4ECA-8C3E-53919A4C4FA6}" name="Is it a Fad?" dataDxfId="49"/>
    <tableColumn id="16" xr3:uid="{DACCF7A4-AB19-4D0D-A038-087BEE8F955E}" name="Problem 1" dataDxfId="48"/>
    <tableColumn id="21" xr3:uid="{696DCB5D-D4BF-42E9-AB60-AC7DF55146C2}" name="Differentiation 1" dataDxfId="47"/>
    <tableColumn id="17" xr3:uid="{24E3ED57-595F-44BF-AAF8-AF1FD353939C}" name="Problem 2" dataDxfId="46"/>
    <tableColumn id="22" xr3:uid="{4FF6C624-C90B-4173-B2DB-937BC5B053FE}" name="Differentiation 2" dataDxfId="45"/>
    <tableColumn id="18" xr3:uid="{F169565B-51EF-4CD0-9B6D-BD8BB57F8CD0}" name="Problem 3" dataDxfId="44"/>
    <tableColumn id="23" xr3:uid="{E249ABB3-B061-4562-A998-C18F7B21274F}" name="Differentiation 3" dataDxfId="43"/>
    <tableColumn id="19" xr3:uid="{5C27679F-A8A0-46C0-9AE2-04957A393A0B}" name="Problem 4" dataDxfId="42"/>
    <tableColumn id="24" xr3:uid="{6F364512-3A06-438C-B579-FA1DAC698C9B}" name="Differentiation 4" dataDxfId="41"/>
    <tableColumn id="20" xr3:uid="{320B6121-D3B1-4E96-9A1E-452258CCC3AD}" name="Problem Summary" dataDxfId="40"/>
    <tableColumn id="50" xr3:uid="{495F4B72-E5DB-4EB6-8710-10BDB0AA5B47}" name="Differentiation Summary" dataDxfId="39"/>
    <tableColumn id="25" xr3:uid="{69D60011-D9DB-4B45-B1D1-04F3237ED8B8}" name="Potential supplier" dataDxfId="38"/>
    <tableColumn id="26" xr3:uid="{40B95123-FD6C-41BF-A8C1-B79FA3333924}" name="Goal sell price" dataDxfId="37">
      <calculatedColumnFormula>Table134[[#This Row],[Page 1 Average Price]]</calculatedColumnFormula>
    </tableColumn>
    <tableColumn id="27" xr3:uid="{7227D13B-6246-4421-9057-7C7D9BA5A121}" name="Manufacturing Cost/unit ($)" dataDxfId="36">
      <calculatedColumnFormula>Table134[[#This Row],[Page 1 Average Price]]</calculatedColumnFormula>
    </tableColumn>
    <tableColumn id="28" xr3:uid="{FEF4D6A8-B223-4DEC-B90F-50CE8825068F}" name="Shipping Fees ($)" dataDxfId="35">
      <calculatedColumnFormula>2</calculatedColumnFormula>
    </tableColumn>
    <tableColumn id="29" xr3:uid="{88131DFB-F01E-4E3D-8DD2-BE0CC2C2D769}" name="Estimate Landed Cost/unit ($)" dataDxfId="34">
      <calculatedColumnFormula>Table134[[#This Row],[Manufacturing Cost/unit ($)]]+Table134[[#This Row],[Shipping Fees ($)]]</calculatedColumnFormula>
    </tableColumn>
    <tableColumn id="15" xr3:uid="{74836CB6-89AD-4392-AEAE-E540D1594DD8}" name="Potential Product Length" dataDxfId="33"/>
    <tableColumn id="37" xr3:uid="{6DDEEDEB-91C9-4F56-A026-43A5764D2D1A}" name="Potential Product Width" dataDxfId="32"/>
    <tableColumn id="41" xr3:uid="{A2C690B3-91B7-44C0-8726-F611B957E5B7}" name="Potential Product Height" dataDxfId="31"/>
    <tableColumn id="46" xr3:uid="{49CCF835-8C33-4B26-BD4F-06FB3EBF04CC}" name="Potential Product Size Tier" dataDxfId="30"/>
    <tableColumn id="30" xr3:uid="{42C6214D-FF6E-4DAE-B23D-DF7C4FB3469C}" name="Referral fees ($)" dataDxfId="29">
      <calculatedColumnFormula>Table134[[#This Row],[Goal sell price]]*0.15</calculatedColumnFormula>
    </tableColumn>
    <tableColumn id="31" xr3:uid="{1ACB846B-EFE2-4871-9CF3-D8F10FA5422B}" name="Item weight (lbs)" dataDxfId="28"/>
    <tableColumn id="32" xr3:uid="{65105B74-0995-4760-A415-08DC915A6237}" name="Dimensional weight (lbs)" dataDxfId="27">
      <calculatedColumnFormula>AV4</calculatedColumnFormula>
    </tableColumn>
    <tableColumn id="39" xr3:uid="{E5DCA78D-16E2-4493-AF4F-1814354239FB}" name="Your Outbound Shipping Weight: (lbs)" dataDxfId="26">
      <calculatedColumnFormula>MAX(Table134[[#This Row],[Item weight (lbs)]:[Dimensional weight (lbs)]])</calculatedColumnFormula>
    </tableColumn>
    <tableColumn id="33" xr3:uid="{71FD444C-99AC-485B-BE70-D57F96A5E025}" name="Fba Fulfilment Fee" dataDxfId="25" dataCellStyle="Currency">
      <calculatedColumnFormula>MAX(Table134[[#This Row],[Item weight (lbs)]:[Dimensional weight (lbs)]])</calculatedColumnFormula>
    </tableColumn>
    <tableColumn id="35" xr3:uid="{B9906C22-BBFC-4CF6-9EB3-E4291CFC5248}" name="Profit Per Unit" dataDxfId="24">
      <calculatedColumnFormula>Table134[[#This Row],[Goal sell price]]-Table134[[#This Row],[Estimate Landed Cost/unit ($)]]-Table134[[#This Row],[Referral fees ($)]]-#REF!</calculatedColumnFormula>
    </tableColumn>
    <tableColumn id="36" xr3:uid="{5F298CE2-F019-45B9-967D-34CC5ACD75BF}" name="PROFIT MARGIN" dataDxfId="23">
      <calculatedColumnFormula>Table134[[#This Row],[Profit Per Unit]]/Table134[[#This Row],[Goal sell price]]*100</calculatedColumnFormula>
    </tableColumn>
    <tableColumn id="54" xr3:uid="{4613BA68-67E8-BD4C-938E-465CA7EE11A4}" name="PROFIT SCORE" dataDxfId="22" dataCellStyle="Percent">
      <calculatedColumnFormula>IF(Table134[[#This Row],[PROFIT MARGIN]]=0%,"NO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calculatedColumnFormula>
    </tableColumn>
    <tableColumn id="58" xr3:uid="{5BCD7FC7-F998-44D6-B7E3-634366BFA1A6}" name="YES' Counter" dataDxfId="21">
      <calculatedColumnFormula>COUNTIF(H2:V2,"YES")</calculatedColumnFormula>
    </tableColumn>
    <tableColumn id="57" xr3:uid="{435D1855-7961-4CD7-8DD3-9F5FCAE575CA}" name="NO' Counter" dataDxfId="20">
      <calculatedColumnFormula>COUNTIF(W2:Z2,"NO")</calculatedColumnFormula>
    </tableColumn>
    <tableColumn id="56" xr3:uid="{1199BAC2-EB0E-4CF3-94D4-A3E070E35A4C}" name="MARKET SCORE TOTAL" dataDxfId="19">
      <calculatedColumnFormula>SUM(BB2:BC2)</calculatedColumnFormula>
    </tableColumn>
    <tableColumn id="62" xr3:uid="{718EDBE3-6FC2-4E00-908F-FA8D14F1FECC}" name="PROFIT SCORE BACKEND" dataDxfId="18">
      <calculatedColumnFormula>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calculatedColumnFormula>
    </tableColumn>
    <tableColumn id="48" xr3:uid="{4D900BBD-1ED7-984D-B536-A685056F9BBF}" name="MARKET SCORE" dataDxfId="17">
      <calculatedColumnFormula>IF(AND(BD2=0),"NO DATA",
IF(AND(BD2=1),"1/10 - BAD",
IF(AND(BD2=2),"2/10 - BAD",
IF(AND(BD2=3),"3/10 - BAD",
IF(AND(BD2=4),"4/10 - BAD",
IF(AND(BD2=5),"5/10 - DECENT",
IF(AND(BD2=6),"6/10 - DECENT",
IF(AND(BD2=7),"7/10 - GREAT",
IF(AND(BD2=8),"8/10 - GREAT",
IF(AND(BD2=9),"9/10 - SUPERB",
IF(AND(BD2=10),"10/10 - SUPERB")))))))))))</calculatedColumnFormula>
    </tableColumn>
    <tableColumn id="63" xr3:uid="{EC9EDD19-8684-4529-80BB-F000E7A680CD}" name="MARKET SCORE BACKEND" dataDxfId="16">
      <calculatedColumnFormula>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calculatedColumnFormula>
    </tableColumn>
    <tableColumn id="59" xr3:uid="{3EF5CF57-38AE-4271-983B-C2CCF5F6AC20}" name="DEVELOPMENT SCORE" dataDxfId="15"/>
    <tableColumn id="61" xr3:uid="{893E550A-845F-460A-88F9-21A44B8D1AA2}" name="DEVELOPMENT SCORE BACKEND" dataDxfId="14">
      <calculatedColumnFormula>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calculatedColumnFormula>
    </tableColumn>
    <tableColumn id="55" xr3:uid="{2992668D-6E5A-8645-B531-A3A04425DE4A}" name="WEIGHTED SCORE BACKEND" dataDxfId="13" dataCellStyle="Normal">
      <calculatedColumnFormula>SUM(BA2,BF2,BI2)</calculatedColumnFormula>
    </tableColumn>
    <tableColumn id="64" xr3:uid="{E6A66B2D-C5E2-40EA-BFDF-37F916A5F09A}" name="WEIGHTED SCORE" dataDxfId="12">
      <calculatedColumnFormula>IF(AND(Table134[[#This Row],[WEIGHTED SCORE BACKEND]]=0),"NO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calculatedColumnFormula>
    </tableColumn>
    <tableColumn id="38" xr3:uid="{1D81A1D2-82FE-432C-B33E-54516C4EB9E9}" name="Notes" dataDxfId="11"/>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3176E9-04FD-4FF3-9E65-4E80603F0CFA}" name="Table3" displayName="Table3" ref="A1:A25" totalsRowShown="0" headerRowDxfId="10" dataDxfId="9">
  <autoFilter ref="A1:A25" xr:uid="{913176E9-04FD-4FF3-9E65-4E80603F0CFA}"/>
  <tableColumns count="1">
    <tableColumn id="1" xr3:uid="{5B0F9099-BDCC-45D0-B723-E701922DD0BC}" name="DAN RODGERS" dataDxfId="8"/>
  </tableColumns>
  <tableStyleInfo name="TableStyleDark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32C540-2A9F-4FC1-995B-57DA6D19EEB6}" name="Table2" displayName="Table2" ref="J12:M39" totalsRowShown="0" headerRowCellStyle="Normal" dataCellStyle="Normal">
  <autoFilter ref="J12:M39" xr:uid="{4A32C540-2A9F-4FC1-995B-57DA6D19EEB6}"/>
  <tableColumns count="4">
    <tableColumn id="1" xr3:uid="{9237A58F-BA83-49C6-8F3A-E3A4E29B98B7}" name="Product type" dataCellStyle="Normal"/>
    <tableColumn id="2" xr3:uid="{24556406-FE48-43DC-9064-ED0393748336}" name="Size tier" dataCellStyle="Normal"/>
    <tableColumn id="3" xr3:uid="{B2F2D3D5-846D-4802-8B14-02C2F021A878}" name="Shipping weight (lbs)" dataCellStyle="Normal"/>
    <tableColumn id="4" xr3:uid="{1678371B-CEB2-4688-8D6A-03E1E8037416}" name="Fulfillment fee per unit" dataCellStyle="Normal"/>
  </tableColumns>
  <tableStyleInfo name="TableStyleMedium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A103505-C8DB-49D9-90C2-921ACE6A1544}" name="Table6" displayName="Table6" ref="I1:N7" totalsRowShown="0">
  <autoFilter ref="I1:N7" xr:uid="{EA103505-C8DB-49D9-90C2-921ACE6A1544}"/>
  <tableColumns count="6">
    <tableColumn id="1" xr3:uid="{B789FCB6-742F-4A56-B7BD-2166B28EA4E5}" name="Product size tier"/>
    <tableColumn id="2" xr3:uid="{F111323C-0E20-4F71-ADF4-5C939B164183}" name="Unit weight*"/>
    <tableColumn id="3" xr3:uid="{FA723BB5-D880-46D0-9D1D-3CCA6B06AF04}" name="Longest side"/>
    <tableColumn id="4" xr3:uid="{865D3E95-E9C5-4DA7-8A1B-092EFA808B6C}" name="Median side"/>
    <tableColumn id="5" xr3:uid="{4BC05387-1CB7-413B-B51F-E62F663B8F44}" name="Shortest side"/>
    <tableColumn id="7" xr3:uid="{B01009EA-9965-4237-9344-53410C78E579}" name="_x0009_Length + girth"/>
  </tableColumns>
  <tableStyleInfo name="TableStyleMedium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5B74E24-FD16-47F8-8C69-9CB5709DA0D0}" name="Table7" displayName="Table7" ref="B1:H50" totalsRowShown="0">
  <autoFilter ref="B1:H50" xr:uid="{C5B74E24-FD16-47F8-8C69-9CB5709DA0D0}"/>
  <tableColumns count="7">
    <tableColumn id="1" xr3:uid="{2AC563BC-BB06-431C-8ED6-E7787F8D4B47}" name="Product size tier" dataDxfId="7">
      <calculatedColumnFormula>IF(AND(C2=0,D2=0,E2=0,F2=0),"NO DATA",
IF(AND(C2&lt;=0.375,D2&lt;=15,E2&lt;=12,F2&lt;=0.75),"Small Standard-Size",
IF(AND(C2&lt;=20,D2&lt;=18,E2&lt;=14,F2&lt;=8),"Large Standard Size",
IF(AND(C2&lt;=70,D2&lt;=60,E2&lt;=30,G2&lt;=130),"Small Oversize",
IF(AND(C2&lt;=150,D2&lt;=108,G2&lt;=130),"Medium Oversize",
IF(AND(C2&lt;=150,D2&lt;=108,G2&lt;=165),"Large Oversize",
IF(AND(C2&gt;=150,D2&gt;=108,G2&gt;=165),"Special Oversize",
"No Data")))))))</calculatedColumnFormula>
    </tableColumn>
    <tableColumn id="2" xr3:uid="{C2B599E4-F8AD-4BA1-82E0-A4929BCEFCFA}" name="Unit weight*" dataDxfId="6">
      <calculatedColumnFormula>'Cheat Sheet'!AW3</calculatedColumnFormula>
    </tableColumn>
    <tableColumn id="3" xr3:uid="{5E659217-7480-4E82-ABE6-AAB163E40696}" name="Longest side" dataDxfId="5">
      <calculatedColumnFormula>'Cheat Sheet'!AP3</calculatedColumnFormula>
    </tableColumn>
    <tableColumn id="4" xr3:uid="{318D86EA-C0DE-438F-9685-C1E3EC7D21D9}" name="Median side" dataDxfId="4">
      <calculatedColumnFormula>'Cheat Sheet'!AQ3</calculatedColumnFormula>
    </tableColumn>
    <tableColumn id="5" xr3:uid="{A2B8F735-4357-469B-925F-E995ACF15175}" name="Shortest side" dataDxfId="3">
      <calculatedColumnFormula>'Cheat Sheet'!AR3</calculatedColumnFormula>
    </tableColumn>
    <tableColumn id="7" xr3:uid="{3C2DFAB1-4D59-4CA4-96CF-2F0371FC0175}" name="_x0009_Length + girth" dataDxfId="2">
      <calculatedColumnFormula>2*Table7[[#This Row],[Longest side]]+2*Table7[[#This Row],[Median side]]</calculatedColumnFormula>
    </tableColumn>
    <tableColumn id="8" xr3:uid="{811E9DB6-8064-4FCE-AC7A-8268CFFFE104}" name="Fulfilment fee per unit" dataDxfId="1" dataCellStyle="Currency">
      <calculatedColumnFormula>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calculatedColumnFormula>
    </tableColumn>
  </tableColumns>
  <tableStyleInfo name="TableStyleMedium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5E1EE78-5D26-4CA8-A9D6-31F66EE8C307}" name="Table8" displayName="Table8" ref="A1:A50" totalsRowShown="0">
  <autoFilter ref="A1:A50" xr:uid="{45E1EE78-5D26-4CA8-A9D6-31F66EE8C307}"/>
  <tableColumns count="1">
    <tableColumn id="1" xr3:uid="{9E767E31-6AC9-48A7-9418-75D7F4357A6D}" name="Your Product(s)" dataDxfId="0">
      <calculatedColumnFormula>'Cheat Sheet'!B3</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libaba.com/product-detail/Sublimation-Tumblers-20oz-Skinny-White-Straight_1600222510701.html?spm=a2700.galleryofferlist.normal_offer.d_title.361836faRejhkq&amp;s=p" TargetMode="External"/><Relationship Id="rId13" Type="http://schemas.openxmlformats.org/officeDocument/2006/relationships/hyperlink" Target="https://www.amazon.com/s?k=long+reach+car+tools+kit&amp;ref=nb_sb_noss" TargetMode="External"/><Relationship Id="rId18" Type="http://schemas.openxmlformats.org/officeDocument/2006/relationships/hyperlink" Target="https://www.alibaba.com/product-detail/2-in-1-Fitness-Massage-Adjustable_1600232812286.html?spm=a2700.picsearch.offer-list.118.1c925f93IbflGF" TargetMode="External"/><Relationship Id="rId26" Type="http://schemas.openxmlformats.org/officeDocument/2006/relationships/printerSettings" Target="../printerSettings/printerSettings1.bin"/><Relationship Id="rId3" Type="http://schemas.openxmlformats.org/officeDocument/2006/relationships/hyperlink" Target="https://youtu.be/ZNGhZMGUdNc" TargetMode="External"/><Relationship Id="rId21" Type="http://schemas.openxmlformats.org/officeDocument/2006/relationships/hyperlink" Target="https://www.alibaba.com/product-detail/Holographic-Waist-Bags-Women-Silver-Fanny_1600112078445.html?spm=a2700.themePage.1022759348278.29.69de233dqAgrlo" TargetMode="External"/><Relationship Id="rId7" Type="http://schemas.openxmlformats.org/officeDocument/2006/relationships/hyperlink" Target="https://www.amazon.com/dp/B08LQT3JF4" TargetMode="External"/><Relationship Id="rId12" Type="http://schemas.openxmlformats.org/officeDocument/2006/relationships/hyperlink" Target="https://www.alibaba.com/product-detail/Manufacturers-produce-customized-Unlock-Door-Open_1600291859713.html?spm=a2700.galleryofferlist.normal_offer.d_title.2a902d65icW20O" TargetMode="External"/><Relationship Id="rId17" Type="http://schemas.openxmlformats.org/officeDocument/2006/relationships/hyperlink" Target="https://www.alibaba.com/product-detail/Bamboo-Kitchen-Drawer-Cutlery-Tray-Expandable_1600274461632.html?spm=a2700.galleryofferlist.normal_offer.d_title.68eb3834f8gUHu&amp;s=p" TargetMode="External"/><Relationship Id="rId25" Type="http://schemas.openxmlformats.org/officeDocument/2006/relationships/hyperlink" Target="https://www.amazon.com/s?k=Zen+Garden+Kit&amp;ref=nb_sb_noss" TargetMode="External"/><Relationship Id="rId2" Type="http://schemas.openxmlformats.org/officeDocument/2006/relationships/hyperlink" Target="mailto:bugs@officialdanrodgers.com?subject=A%20bug%20has%20been%20found" TargetMode="External"/><Relationship Id="rId16" Type="http://schemas.openxmlformats.org/officeDocument/2006/relationships/hyperlink" Target="https://www.amazon.com/s?k=Bamboo+Ziplock+Bag+Storage+drawer&amp;ref=nb_sb_noss_2" TargetMode="External"/><Relationship Id="rId20" Type="http://schemas.openxmlformats.org/officeDocument/2006/relationships/hyperlink" Target="https://www.amazon.com/s?k=Smart+Weighted+Hula+Hoop+for+Adults&amp;i=sporting&amp;ref=nb_sb_noss_2" TargetMode="External"/><Relationship Id="rId29" Type="http://schemas.openxmlformats.org/officeDocument/2006/relationships/table" Target="../tables/table2.xml"/><Relationship Id="rId1" Type="http://schemas.openxmlformats.org/officeDocument/2006/relationships/hyperlink" Target="https://www.officialdanrodgers.com/services/" TargetMode="External"/><Relationship Id="rId6" Type="http://schemas.openxmlformats.org/officeDocument/2006/relationships/hyperlink" Target="https://www.alibaba.com/product-detail/Wind-Chimes-Outdoor-Deep-Tone-36_1600090180249.html?spm=a2700.galleryofferlist.normal_offer.d_title.42023330pyYL2K" TargetMode="External"/><Relationship Id="rId11" Type="http://schemas.openxmlformats.org/officeDocument/2006/relationships/hyperlink" Target="https://www.amazon.com/s?k=sublimation+stainless+Steel+Tumblers&amp;ref=nb_sb_noss_2" TargetMode="External"/><Relationship Id="rId24" Type="http://schemas.openxmlformats.org/officeDocument/2006/relationships/hyperlink" Target="https://www.alibaba.com/product-detail/Wholesale-New-Design-Japanese-Diy-Crafts_62400303103.html?spm=a2700.galleryofferlist.normal_offer.d_title.cd126ec6VJTWqS" TargetMode="External"/><Relationship Id="rId5" Type="http://schemas.openxmlformats.org/officeDocument/2006/relationships/hyperlink" Target="https://www.alibaba.com/product-detail/Manufacturers-produce-customized-Unlock-Door-Open_1600291859713.html?spm=a2700.galleryofferlist.normal_offer.d_title.2a902d65icW20O" TargetMode="External"/><Relationship Id="rId15" Type="http://schemas.openxmlformats.org/officeDocument/2006/relationships/hyperlink" Target="https://www.amazon.com/s?k=Eyelash+Extension+training+Kit&amp;ref=nb_sb_noss" TargetMode="External"/><Relationship Id="rId23" Type="http://schemas.openxmlformats.org/officeDocument/2006/relationships/hyperlink" Target="https://www.amazon.com/s?k=Bachelorette+Party+fanny+packs&amp;ref=nb_sb_noss" TargetMode="External"/><Relationship Id="rId28" Type="http://schemas.openxmlformats.org/officeDocument/2006/relationships/table" Target="../tables/table1.xml"/><Relationship Id="rId10" Type="http://schemas.openxmlformats.org/officeDocument/2006/relationships/hyperlink" Target="https://www.amazon.com/s?k=tree+of+life+wind+chimes&amp;ref=nb_sb_noss" TargetMode="External"/><Relationship Id="rId19" Type="http://schemas.openxmlformats.org/officeDocument/2006/relationships/hyperlink" Target="https://www.amazon.com/dp/B092Q18V7W" TargetMode="External"/><Relationship Id="rId4" Type="http://schemas.openxmlformats.org/officeDocument/2006/relationships/hyperlink" Target="https://www.amazon.com/s?k=Guitar+Tool+Kit&amp;ref=nb_sb_noss_2" TargetMode="External"/><Relationship Id="rId9" Type="http://schemas.openxmlformats.org/officeDocument/2006/relationships/hyperlink" Target="https://www.amazon.com/dp/B08W23TBWL/ref=twister_B08XLVBQ5F?_encoding=UTF8&amp;psc=1" TargetMode="External"/><Relationship Id="rId14" Type="http://schemas.openxmlformats.org/officeDocument/2006/relationships/hyperlink" Target="https://www.alibaba.com/product-detail/Pro-19pcs-False-Eyelashes-Extension-Practice_1600263257416.html?spm=a2700.galleryofferlist.normal_offer.d_title.637c15ffY4D1R0" TargetMode="External"/><Relationship Id="rId22" Type="http://schemas.openxmlformats.org/officeDocument/2006/relationships/hyperlink" Target="https://www.amazon.com/dp/B08M5FHXTS" TargetMode="External"/><Relationship Id="rId27" Type="http://schemas.openxmlformats.org/officeDocument/2006/relationships/vmlDrawing" Target="../drawings/vmlDrawing1.v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922ED-EB86-4BEA-BBC4-BC8049D46A5D}">
  <sheetPr>
    <tabColor rgb="FFFF9C00"/>
  </sheetPr>
  <dimension ref="A1:BL25"/>
  <sheetViews>
    <sheetView showZeros="0" tabSelected="1" topLeftCell="A4" zoomScale="90" zoomScaleNormal="90" workbookViewId="0">
      <selection activeCell="AO16" sqref="AO16"/>
    </sheetView>
  </sheetViews>
  <sheetFormatPr defaultColWidth="35" defaultRowHeight="63.6" customHeight="1" x14ac:dyDescent="0.25"/>
  <cols>
    <col min="1" max="1" width="55.42578125" style="9" customWidth="1"/>
    <col min="2" max="2" width="35" style="9"/>
    <col min="3" max="3" width="37.140625" style="9" customWidth="1"/>
    <col min="4" max="4" width="35" style="9"/>
    <col min="5" max="5" width="40.7109375" style="9" customWidth="1"/>
    <col min="6" max="10" width="35" style="9"/>
    <col min="11" max="13" width="40.7109375" style="9" customWidth="1"/>
    <col min="14" max="14" width="48" style="9" customWidth="1"/>
    <col min="15" max="16" width="42" style="9" customWidth="1"/>
    <col min="17" max="17" width="48" style="9" customWidth="1"/>
    <col min="18" max="18" width="49.42578125" style="9" customWidth="1"/>
    <col min="19" max="19" width="48.140625" style="9" customWidth="1"/>
    <col min="20" max="21" width="45.140625" style="9" customWidth="1"/>
    <col min="22" max="25" width="35" style="9"/>
    <col min="27" max="36" width="35" style="9"/>
    <col min="37" max="37" width="41.140625" style="9" customWidth="1"/>
    <col min="38" max="53" width="35" style="9"/>
    <col min="54" max="54" width="35" style="9" hidden="1" customWidth="1"/>
    <col min="55" max="55" width="17.85546875" style="9" hidden="1" customWidth="1"/>
    <col min="56" max="56" width="23.7109375" style="9" hidden="1" customWidth="1"/>
    <col min="57" max="57" width="23.42578125" style="14" hidden="1" customWidth="1"/>
    <col min="58" max="58" width="33.85546875" style="9" customWidth="1"/>
    <col min="59" max="59" width="22.140625" style="9" hidden="1" customWidth="1"/>
    <col min="60" max="60" width="29.85546875" style="9" customWidth="1"/>
    <col min="61" max="61" width="30.28515625" style="9" hidden="1" customWidth="1"/>
    <col min="62" max="62" width="39.140625" style="9" hidden="1" customWidth="1"/>
    <col min="63" max="63" width="29.28515625" style="9" customWidth="1"/>
    <col min="64" max="64" width="32" style="9" customWidth="1"/>
    <col min="65" max="65" width="35" style="9"/>
    <col min="66" max="66" width="12.7109375" style="9" customWidth="1"/>
    <col min="67" max="67" width="35" style="9"/>
    <col min="68" max="69" width="35" style="9" customWidth="1"/>
    <col min="70" max="16384" width="35" style="9"/>
  </cols>
  <sheetData>
    <row r="1" spans="1:64" ht="63.6" customHeight="1" x14ac:dyDescent="0.25">
      <c r="A1" s="77" t="s">
        <v>15</v>
      </c>
      <c r="B1" s="15" t="s">
        <v>11</v>
      </c>
      <c r="C1" s="15" t="s">
        <v>10</v>
      </c>
      <c r="D1" s="16" t="s">
        <v>217</v>
      </c>
      <c r="E1" s="16" t="s">
        <v>22</v>
      </c>
      <c r="F1" s="25" t="s">
        <v>147</v>
      </c>
      <c r="G1" s="16" t="s">
        <v>148</v>
      </c>
      <c r="H1" s="17" t="s">
        <v>146</v>
      </c>
      <c r="I1" s="25" t="s">
        <v>12</v>
      </c>
      <c r="J1" s="16" t="s">
        <v>18</v>
      </c>
      <c r="K1" s="17" t="s">
        <v>13</v>
      </c>
      <c r="L1" s="25" t="s">
        <v>25</v>
      </c>
      <c r="M1" s="16" t="s">
        <v>24</v>
      </c>
      <c r="N1" s="17" t="s">
        <v>14</v>
      </c>
      <c r="O1" s="16" t="s">
        <v>152</v>
      </c>
      <c r="P1" s="16" t="s">
        <v>212</v>
      </c>
      <c r="Q1" s="16" t="s">
        <v>49</v>
      </c>
      <c r="R1" s="16" t="s">
        <v>50</v>
      </c>
      <c r="S1" s="16" t="s">
        <v>51</v>
      </c>
      <c r="T1" s="16" t="s">
        <v>20</v>
      </c>
      <c r="U1" s="16" t="s">
        <v>132</v>
      </c>
      <c r="V1" s="18" t="s">
        <v>187</v>
      </c>
      <c r="W1" s="18" t="s">
        <v>192</v>
      </c>
      <c r="X1" s="18" t="s">
        <v>193</v>
      </c>
      <c r="Y1" s="18" t="s">
        <v>195</v>
      </c>
      <c r="Z1" s="18" t="s">
        <v>194</v>
      </c>
      <c r="AA1" s="19" t="s">
        <v>0</v>
      </c>
      <c r="AB1" s="20" t="s">
        <v>4</v>
      </c>
      <c r="AC1" s="19" t="s">
        <v>1</v>
      </c>
      <c r="AD1" s="20" t="s">
        <v>5</v>
      </c>
      <c r="AE1" s="19" t="s">
        <v>2</v>
      </c>
      <c r="AF1" s="20" t="s">
        <v>6</v>
      </c>
      <c r="AG1" s="19" t="s">
        <v>3</v>
      </c>
      <c r="AH1" s="20" t="s">
        <v>7</v>
      </c>
      <c r="AI1" s="19" t="s">
        <v>31</v>
      </c>
      <c r="AJ1" s="20" t="s">
        <v>37</v>
      </c>
      <c r="AK1" s="21" t="s">
        <v>8</v>
      </c>
      <c r="AL1" s="22" t="s">
        <v>9</v>
      </c>
      <c r="AM1" s="22" t="s">
        <v>41</v>
      </c>
      <c r="AN1" s="22" t="s">
        <v>40</v>
      </c>
      <c r="AO1" s="22" t="s">
        <v>42</v>
      </c>
      <c r="AP1" s="22" t="s">
        <v>200</v>
      </c>
      <c r="AQ1" s="22" t="s">
        <v>201</v>
      </c>
      <c r="AR1" s="22" t="s">
        <v>202</v>
      </c>
      <c r="AS1" s="22" t="s">
        <v>214</v>
      </c>
      <c r="AT1" s="22" t="s">
        <v>43</v>
      </c>
      <c r="AU1" s="22" t="s">
        <v>44</v>
      </c>
      <c r="AV1" s="22" t="s">
        <v>45</v>
      </c>
      <c r="AW1" s="22" t="s">
        <v>162</v>
      </c>
      <c r="AX1" s="23" t="s">
        <v>136</v>
      </c>
      <c r="AY1" s="22" t="s">
        <v>164</v>
      </c>
      <c r="AZ1" s="22" t="s">
        <v>176</v>
      </c>
      <c r="BA1" s="20" t="s">
        <v>166</v>
      </c>
      <c r="BB1" s="24" t="s">
        <v>173</v>
      </c>
      <c r="BC1" s="24" t="s">
        <v>174</v>
      </c>
      <c r="BD1" s="20" t="s">
        <v>175</v>
      </c>
      <c r="BE1" s="20" t="s">
        <v>179</v>
      </c>
      <c r="BF1" s="20" t="s">
        <v>165</v>
      </c>
      <c r="BG1" s="20" t="s">
        <v>180</v>
      </c>
      <c r="BH1" s="20" t="s">
        <v>167</v>
      </c>
      <c r="BI1" s="20" t="s">
        <v>191</v>
      </c>
      <c r="BJ1" s="20" t="s">
        <v>181</v>
      </c>
      <c r="BK1" s="21" t="s">
        <v>178</v>
      </c>
      <c r="BL1" s="9" t="s">
        <v>48</v>
      </c>
    </row>
    <row r="2" spans="1:64" ht="63.6" customHeight="1" x14ac:dyDescent="0.25">
      <c r="A2" s="78" t="s">
        <v>370</v>
      </c>
      <c r="B2" s="7" t="s">
        <v>16</v>
      </c>
      <c r="C2" s="7" t="s">
        <v>17</v>
      </c>
      <c r="D2" s="1" t="s">
        <v>21</v>
      </c>
      <c r="E2" s="1" t="s">
        <v>23</v>
      </c>
      <c r="F2" s="1" t="s">
        <v>145</v>
      </c>
      <c r="G2" s="1" t="s">
        <v>46</v>
      </c>
      <c r="H2" s="1" t="s">
        <v>149</v>
      </c>
      <c r="I2" s="1" t="s">
        <v>150</v>
      </c>
      <c r="J2" s="1" t="s">
        <v>19</v>
      </c>
      <c r="K2" s="1" t="s">
        <v>149</v>
      </c>
      <c r="L2" s="1" t="s">
        <v>151</v>
      </c>
      <c r="M2" s="1" t="s">
        <v>26</v>
      </c>
      <c r="N2" s="1" t="s">
        <v>171</v>
      </c>
      <c r="O2" s="1" t="s">
        <v>47</v>
      </c>
      <c r="P2" s="1" t="s">
        <v>153</v>
      </c>
      <c r="Q2" s="1" t="s">
        <v>218</v>
      </c>
      <c r="R2" s="1" t="s">
        <v>219</v>
      </c>
      <c r="S2" s="1" t="s">
        <v>220</v>
      </c>
      <c r="T2" s="1" t="s">
        <v>52</v>
      </c>
      <c r="U2" s="1" t="s">
        <v>133</v>
      </c>
      <c r="V2" s="1" t="s">
        <v>168</v>
      </c>
      <c r="W2" s="1" t="s">
        <v>170</v>
      </c>
      <c r="X2" s="31" t="s">
        <v>216</v>
      </c>
      <c r="Y2" s="1" t="s">
        <v>169</v>
      </c>
      <c r="Z2" s="1" t="s">
        <v>172</v>
      </c>
      <c r="AA2" s="1" t="s">
        <v>27</v>
      </c>
      <c r="AB2" s="1" t="s">
        <v>33</v>
      </c>
      <c r="AC2" s="1" t="s">
        <v>28</v>
      </c>
      <c r="AD2" s="1" t="s">
        <v>34</v>
      </c>
      <c r="AE2" s="1" t="s">
        <v>29</v>
      </c>
      <c r="AF2" s="1" t="s">
        <v>35</v>
      </c>
      <c r="AG2" s="1" t="s">
        <v>30</v>
      </c>
      <c r="AH2" s="1" t="s">
        <v>36</v>
      </c>
      <c r="AI2" s="1" t="s">
        <v>32</v>
      </c>
      <c r="AJ2" s="1" t="s">
        <v>38</v>
      </c>
      <c r="AK2" s="1" t="s">
        <v>39</v>
      </c>
      <c r="AL2" s="1" t="s">
        <v>159</v>
      </c>
      <c r="AM2" s="1" t="s">
        <v>53</v>
      </c>
      <c r="AN2" s="1" t="s">
        <v>160</v>
      </c>
      <c r="AO2" s="1" t="s">
        <v>54</v>
      </c>
      <c r="AP2" s="1" t="s">
        <v>203</v>
      </c>
      <c r="AQ2" s="1" t="s">
        <v>204</v>
      </c>
      <c r="AR2" s="1" t="s">
        <v>205</v>
      </c>
      <c r="AS2" s="1" t="s">
        <v>213</v>
      </c>
      <c r="AT2" s="1" t="s">
        <v>55</v>
      </c>
      <c r="AU2" s="1" t="s">
        <v>161</v>
      </c>
      <c r="AV2" s="1" t="s">
        <v>199</v>
      </c>
      <c r="AW2" s="1" t="s">
        <v>163</v>
      </c>
      <c r="AX2" s="6" t="s">
        <v>96</v>
      </c>
      <c r="AY2" s="1" t="s">
        <v>56</v>
      </c>
      <c r="AZ2" s="1" t="s">
        <v>57</v>
      </c>
      <c r="BA2" s="1" t="s">
        <v>177</v>
      </c>
      <c r="BB2" s="1">
        <f t="shared" ref="BB2" si="0">COUNTIF(H2:V2,"YES")</f>
        <v>0</v>
      </c>
      <c r="BC2" s="1">
        <f>COUNTIF(W2:Z2,"NO")</f>
        <v>0</v>
      </c>
      <c r="BD2" s="1" t="s">
        <v>182</v>
      </c>
      <c r="BE2" s="1"/>
      <c r="BF2" s="1" t="s">
        <v>177</v>
      </c>
      <c r="BG2" s="1" t="b">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0</v>
      </c>
      <c r="BH2" s="1" t="s">
        <v>197</v>
      </c>
      <c r="BI2" s="1"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2" s="8">
        <f>SUM(BA2,BF2,BI2)</f>
        <v>0</v>
      </c>
      <c r="BK2" s="1" t="s">
        <v>198</v>
      </c>
    </row>
    <row r="3" spans="1:64" ht="63.6" customHeight="1" x14ac:dyDescent="0.25">
      <c r="A3" s="79" t="s">
        <v>185</v>
      </c>
      <c r="B3" s="37" t="s">
        <v>226</v>
      </c>
      <c r="C3" s="38" t="s">
        <v>137</v>
      </c>
      <c r="D3" s="38" t="s">
        <v>154</v>
      </c>
      <c r="E3" s="39" t="s">
        <v>336</v>
      </c>
      <c r="F3" s="40">
        <v>35</v>
      </c>
      <c r="G3" s="40">
        <v>45.99</v>
      </c>
      <c r="H3" s="37" t="str">
        <f>IF(AND(Table134[[#This Row],[Page 1 Average Price]]=0,Table134[[#This Row],[Customer Favorite Price]]=0,Table134[[#This Row],[Customer Favorite Height]]=0),"NO DATA",IF(OR(Table134[[#This Row],[Page 1 Average Price]]&gt;=30,Table134[[#This Row],[Customer Favorite Price]]&gt;=30,),"YES","NO"))</f>
        <v>YES</v>
      </c>
      <c r="I3" s="37">
        <v>120</v>
      </c>
      <c r="J3" s="37">
        <v>410</v>
      </c>
      <c r="K3" s="37" t="str">
        <f>IF(OR(Table134[[#This Row],[Page 1 Average Monthly Sales]]&gt;=300,Table134[[#This Row],[Customer Favorite Monthly Sales]]&gt;=300,),"YES","NO")</f>
        <v>YES</v>
      </c>
      <c r="L3" s="37">
        <v>40</v>
      </c>
      <c r="M3" s="37">
        <v>15</v>
      </c>
      <c r="N3" s="37" t="s">
        <v>139</v>
      </c>
      <c r="O3" s="37">
        <v>4.49</v>
      </c>
      <c r="P3" s="37" t="str">
        <f>IF(Table134[[#This Row],[Customer Favorite weight]]=0,"NO DATA", IF(Table134[[#This Row],[Customer Favorite weight]]&lt;=4.75,"YES", IF(Table134[[#This Row],[Customer Favorite weight]]&gt;=4.75,"NO")))</f>
        <v>YES</v>
      </c>
      <c r="Q3" s="41">
        <v>12.5</v>
      </c>
      <c r="R3" s="41">
        <v>13</v>
      </c>
      <c r="S3" s="41">
        <v>2.5</v>
      </c>
      <c r="T3" s="3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YES</v>
      </c>
      <c r="U3"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Large Standard Size</v>
      </c>
      <c r="V3" s="37" t="s">
        <v>139</v>
      </c>
      <c r="W3" s="37" t="s">
        <v>138</v>
      </c>
      <c r="X3" s="37" t="s">
        <v>138</v>
      </c>
      <c r="Y3" s="37" t="s">
        <v>138</v>
      </c>
      <c r="Z3" s="37" t="s">
        <v>138</v>
      </c>
      <c r="AA3" s="37" t="s">
        <v>140</v>
      </c>
      <c r="AB3" s="37" t="s">
        <v>155</v>
      </c>
      <c r="AC3" s="37" t="s">
        <v>141</v>
      </c>
      <c r="AD3" s="37" t="s">
        <v>156</v>
      </c>
      <c r="AE3" s="37" t="s">
        <v>142</v>
      </c>
      <c r="AF3" s="37" t="s">
        <v>157</v>
      </c>
      <c r="AG3" s="37" t="s">
        <v>143</v>
      </c>
      <c r="AH3" s="37" t="s">
        <v>158</v>
      </c>
      <c r="AI3" s="37" t="s">
        <v>144</v>
      </c>
      <c r="AJ3" s="39" t="s">
        <v>196</v>
      </c>
      <c r="AK3" s="38" t="s">
        <v>215</v>
      </c>
      <c r="AL3" s="40">
        <v>44</v>
      </c>
      <c r="AM3" s="40">
        <v>5.5</v>
      </c>
      <c r="AN3" s="40">
        <v>3</v>
      </c>
      <c r="AO3" s="40">
        <f>Table134[[#This Row],[Manufacturing Cost/unit ($)]]+Table134[[#This Row],[Shipping Fees ($)]]</f>
        <v>8.5</v>
      </c>
      <c r="AP3" s="42">
        <v>9.85</v>
      </c>
      <c r="AQ3" s="42">
        <v>7.87</v>
      </c>
      <c r="AR3" s="42">
        <v>2.76</v>
      </c>
      <c r="AS3" s="42" t="str">
        <f>'Fulfilment Fee List'!B2</f>
        <v>Large Standard Size</v>
      </c>
      <c r="AT3" s="40">
        <f>Table134[[#This Row],[Goal sell price]]*0.15</f>
        <v>6.6</v>
      </c>
      <c r="AU3" s="37">
        <v>1.23</v>
      </c>
      <c r="AV3" s="42">
        <f>Table134[[#This Row],[Potential Product Length]]*Table134[[#This Row],[Potential Product Width]]*Table134[[#This Row],[Potential Product Height]]/139</f>
        <v>1.5392361151079135</v>
      </c>
      <c r="AW3" s="43">
        <f>MAX(Table134[[#This Row],[Item weight (lbs)]:[Dimensional weight (lbs)]])</f>
        <v>1.5392361151079135</v>
      </c>
      <c r="AX3" s="44">
        <f>'Fulfilment Fee List'!H2</f>
        <v>4.95</v>
      </c>
      <c r="AY3" s="40">
        <f>IF(Table134[[#This Row],[Goal sell price]],Table134[[#This Row],[Goal sell price]]-Table134[[#This Row],[Estimate Landed Cost/unit ($)]]-Table134[[#This Row],[Referral fees ($)]]-Table134[[#This Row],[Fba Fulfilment Fee]],"NO DATA")</f>
        <v>23.95</v>
      </c>
      <c r="AZ3" s="45">
        <f>IF(Table134[[#This Row],[Goal sell price]],Table134[[#This Row],[Profit Per Unit]]/Table134[[#This Row],[Goal sell price]],"NO DATA")</f>
        <v>0.54431818181818181</v>
      </c>
      <c r="BA3"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10/10 - SUPERB</v>
      </c>
      <c r="BB3" s="47">
        <f>COUNTIF(H3:V3,"YES")</f>
        <v>6</v>
      </c>
      <c r="BC3" s="47">
        <f>COUNTIF(W3:Z3,"NO")</f>
        <v>4</v>
      </c>
      <c r="BD3" s="48">
        <f>SUM(BB3:BC3)</f>
        <v>10</v>
      </c>
      <c r="BE3" s="48">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10</v>
      </c>
      <c r="BF3" s="49" t="str">
        <f>IF(AND(BD3=0),"NO DATA",
IF(AND(BD3=1),"1/10 - BAD",
IF(AND(BD3=2),"2/10 - BAD",
IF(AND(BD3=3),"3/10 - BAD",
IF(AND(BD3=4),"4/10 - BAD",
IF(AND(BD3=5),"5/10 - DECENT",
IF(AND(BD3=6),"6/10 - DECENT",
IF(AND(BD3=7),"7/10 - GREAT",
IF(AND(BD3=8),"8/10 - GREAT",
IF(AND(BD3=9),"9/10 - SUPERB",
IF(AND(BD3=10),"10/10 - SUPERB")))))))))))</f>
        <v>10/10 - SUPERB</v>
      </c>
      <c r="BG3" s="97">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10</v>
      </c>
      <c r="BH3" s="49" t="s">
        <v>183</v>
      </c>
      <c r="BI3" s="97">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9</v>
      </c>
      <c r="BJ3" s="47">
        <f>IF(OR(BE3="NO DATA",BG3="NO DATA",BI3="NO DATA"),"NO DATA",(BE3+BG3+BI3)/3)</f>
        <v>9.6666666666666661</v>
      </c>
      <c r="BK3"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9/10 - SUPERB</v>
      </c>
      <c r="BL3" s="47"/>
    </row>
    <row r="4" spans="1:64" ht="63.6" customHeight="1" x14ac:dyDescent="0.25">
      <c r="A4" s="80" t="s">
        <v>184</v>
      </c>
      <c r="B4" s="73" t="s">
        <v>227</v>
      </c>
      <c r="C4" s="74" t="s">
        <v>228</v>
      </c>
      <c r="D4" s="74" t="s">
        <v>229</v>
      </c>
      <c r="E4" s="75" t="s">
        <v>230</v>
      </c>
      <c r="F4" s="76">
        <v>32.200000000000003</v>
      </c>
      <c r="G4" s="76">
        <v>33.97</v>
      </c>
      <c r="H4" s="37" t="str">
        <f>IF(AND(Table134[[#This Row],[Page 1 Average Price]]=0,Table134[[#This Row],[Customer Favorite Price]]=0,Table134[[#This Row],[Customer Favorite Height]]=0),"NO DATA",IF(OR(Table134[[#This Row],[Page 1 Average Price]]&gt;=30,Table134[[#This Row],[Customer Favorite Price]]&gt;=30,),"YES","NO"))</f>
        <v>YES</v>
      </c>
      <c r="I4" s="73">
        <v>137</v>
      </c>
      <c r="J4" s="73">
        <v>433</v>
      </c>
      <c r="K4" s="37" t="str">
        <f>IF(OR(Table134[[#This Row],[Page 1 Average Monthly Sales]]&gt;=300,Table134[[#This Row],[Customer Favorite Monthly Sales]]&gt;=300,),"YES","NO")</f>
        <v>YES</v>
      </c>
      <c r="L4" s="73">
        <v>182</v>
      </c>
      <c r="M4" s="73">
        <v>39</v>
      </c>
      <c r="N4" s="73" t="s">
        <v>139</v>
      </c>
      <c r="O4" s="73">
        <v>0.71</v>
      </c>
      <c r="P4" s="37" t="str">
        <f>IF(Table134[[#This Row],[Customer Favorite weight]]=0,"NO DATA", IF(Table134[[#This Row],[Customer Favorite weight]]&lt;=4.75,"YES", IF(Table134[[#This Row],[Customer Favorite weight]]&gt;=4.75,"NO")))</f>
        <v>YES</v>
      </c>
      <c r="Q4" s="73">
        <v>11.42</v>
      </c>
      <c r="R4" s="73">
        <v>4.92</v>
      </c>
      <c r="S4" s="73">
        <v>2.17</v>
      </c>
      <c r="T4" s="7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YES</v>
      </c>
      <c r="U4"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Large Standard Size</v>
      </c>
      <c r="V4" s="73" t="s">
        <v>139</v>
      </c>
      <c r="W4" s="73" t="s">
        <v>138</v>
      </c>
      <c r="X4" s="73" t="s">
        <v>138</v>
      </c>
      <c r="Y4" s="73" t="s">
        <v>138</v>
      </c>
      <c r="Z4" s="73" t="s">
        <v>138</v>
      </c>
      <c r="AA4" s="73" t="s">
        <v>231</v>
      </c>
      <c r="AB4" s="73" t="s">
        <v>232</v>
      </c>
      <c r="AC4" s="73" t="s">
        <v>233</v>
      </c>
      <c r="AD4" s="73" t="s">
        <v>234</v>
      </c>
      <c r="AE4" s="73" t="s">
        <v>235</v>
      </c>
      <c r="AF4" s="73" t="s">
        <v>236</v>
      </c>
      <c r="AG4" s="73" t="s">
        <v>237</v>
      </c>
      <c r="AH4" s="75" t="s">
        <v>238</v>
      </c>
      <c r="AI4" s="75" t="s">
        <v>239</v>
      </c>
      <c r="AJ4" s="75" t="s">
        <v>240</v>
      </c>
      <c r="AK4" s="74" t="s">
        <v>337</v>
      </c>
      <c r="AL4" s="76">
        <v>39.99</v>
      </c>
      <c r="AM4" s="76">
        <v>7.25</v>
      </c>
      <c r="AN4" s="76">
        <v>3</v>
      </c>
      <c r="AO4" s="40">
        <f>Table134[[#This Row],[Manufacturing Cost/unit ($)]]+Table134[[#This Row],[Shipping Fees ($)]]</f>
        <v>10.25</v>
      </c>
      <c r="AP4" s="86">
        <v>11.5</v>
      </c>
      <c r="AQ4" s="86">
        <v>5</v>
      </c>
      <c r="AR4" s="86">
        <v>2.5</v>
      </c>
      <c r="AS4" s="42" t="str">
        <f>'Fulfilment Fee List'!B3</f>
        <v>Large Standard Size</v>
      </c>
      <c r="AT4" s="40">
        <f>Table134[[#This Row],[Goal sell price]]*0.15</f>
        <v>5.9984999999999999</v>
      </c>
      <c r="AU4" s="73">
        <v>1</v>
      </c>
      <c r="AV4" s="42">
        <f>Table134[[#This Row],[Potential Product Length]]*Table134[[#This Row],[Potential Product Width]]*Table134[[#This Row],[Potential Product Height]]/139</f>
        <v>1.0341726618705036</v>
      </c>
      <c r="AW4" s="43">
        <f>MAX(Table134[[#This Row],[Item weight (lbs)]:[Dimensional weight (lbs)]])</f>
        <v>1.0341726618705036</v>
      </c>
      <c r="AX4" s="44">
        <f>'Fulfilment Fee List'!H3</f>
        <v>4.95</v>
      </c>
      <c r="AY4" s="40">
        <f>IF(Table134[[#This Row],[Goal sell price]],Table134[[#This Row],[Goal sell price]]-Table134[[#This Row],[Estimate Landed Cost/unit ($)]]-Table134[[#This Row],[Referral fees ($)]]-Table134[[#This Row],[Fba Fulfilment Fee]],"NO DATA")</f>
        <v>18.791500000000003</v>
      </c>
      <c r="AZ4" s="45">
        <f>IF(Table134[[#This Row],[Goal sell price]],Table134[[#This Row],[Profit Per Unit]]/Table134[[#This Row],[Goal sell price]],"NO DATA")</f>
        <v>0.46990497624406108</v>
      </c>
      <c r="BA4"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9/10 - SUPERB</v>
      </c>
      <c r="BB4" s="47">
        <f t="shared" ref="BB4:BB25" si="1">COUNTIF(H4:V4,"YES")</f>
        <v>6</v>
      </c>
      <c r="BC4" s="47">
        <f t="shared" ref="BC4:BC25" si="2">COUNTIF(W4:Z4,"NO")</f>
        <v>4</v>
      </c>
      <c r="BD4" s="48">
        <f t="shared" ref="BD4:BD25" si="3">SUM(BB4:BC4)</f>
        <v>10</v>
      </c>
      <c r="BE4" s="48">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9</v>
      </c>
      <c r="BF4" s="49" t="str">
        <f t="shared" ref="BF4:BF25" si="4">IF(AND(BD4=0),"NO DATA",
IF(AND(BD4=1),"1/10 - BAD",
IF(AND(BD4=2),"2/10 - BAD",
IF(AND(BD4=3),"3/10 - BAD",
IF(AND(BD4=4),"4/10 - BAD",
IF(AND(BD4=5),"5/10 - DECENT",
IF(AND(BD4=6),"6/10 - DECENT",
IF(AND(BD4=7),"7/10 - GREAT",
IF(AND(BD4=8),"8/10 - GREAT",
IF(AND(BD4=9),"9/10 - SUPERB",
IF(AND(BD4=10),"10/10 - SUPERB")))))))))))</f>
        <v>10/10 - SUPERB</v>
      </c>
      <c r="BG4" s="97">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10</v>
      </c>
      <c r="BH4" s="49" t="s">
        <v>183</v>
      </c>
      <c r="BI4" s="97">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9</v>
      </c>
      <c r="BJ4" s="47">
        <f t="shared" ref="BJ4:BJ25" si="5">IF(OR(BE4="NO DATA",BG4="NO DATA",BI4="NO DATA"),"NO DATA",(BE4+BG4+BI4)/3)</f>
        <v>9.3333333333333339</v>
      </c>
      <c r="BK4"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9/10 - SUPERB</v>
      </c>
      <c r="BL4" s="87" t="s">
        <v>242</v>
      </c>
    </row>
    <row r="5" spans="1:64" ht="63.6" customHeight="1" x14ac:dyDescent="0.25">
      <c r="A5" s="82"/>
      <c r="B5" s="75" t="s">
        <v>243</v>
      </c>
      <c r="C5" s="74" t="s">
        <v>244</v>
      </c>
      <c r="D5" s="74" t="s">
        <v>338</v>
      </c>
      <c r="E5" s="75" t="s">
        <v>245</v>
      </c>
      <c r="F5" s="76">
        <v>46.76</v>
      </c>
      <c r="G5" s="76">
        <v>39.99</v>
      </c>
      <c r="H5" s="37" t="str">
        <f>IF(AND(Table134[[#This Row],[Page 1 Average Price]]=0,Table134[[#This Row],[Customer Favorite Price]]=0,Table134[[#This Row],[Customer Favorite Height]]=0),"NO DATA",IF(OR(Table134[[#This Row],[Page 1 Average Price]]&gt;=30,Table134[[#This Row],[Customer Favorite Price]]&gt;=30,),"YES","NO"))</f>
        <v>YES</v>
      </c>
      <c r="I5" s="73">
        <v>229</v>
      </c>
      <c r="J5" s="73">
        <v>506</v>
      </c>
      <c r="K5" s="37" t="str">
        <f>IF(OR(Table134[[#This Row],[Page 1 Average Monthly Sales]]&gt;=300,Table134[[#This Row],[Customer Favorite Monthly Sales]]&gt;=300,),"YES","NO")</f>
        <v>YES</v>
      </c>
      <c r="L5" s="73">
        <v>209</v>
      </c>
      <c r="M5" s="73">
        <v>46</v>
      </c>
      <c r="N5" s="73" t="s">
        <v>139</v>
      </c>
      <c r="O5" s="73">
        <v>3.19</v>
      </c>
      <c r="P5" s="37" t="str">
        <f>IF(Table134[[#This Row],[Customer Favorite weight]]=0,"NO DATA", IF(Table134[[#This Row],[Customer Favorite weight]]&lt;=4.75,"YES", IF(Table134[[#This Row],[Customer Favorite weight]]&gt;=4.75,"NO")))</f>
        <v>YES</v>
      </c>
      <c r="Q5" s="73">
        <v>12.83</v>
      </c>
      <c r="R5" s="73">
        <v>9.2899999999999991</v>
      </c>
      <c r="S5" s="73">
        <v>3.62</v>
      </c>
      <c r="T5" s="3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YES</v>
      </c>
      <c r="U5"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Large Standard Size</v>
      </c>
      <c r="V5" s="73" t="s">
        <v>139</v>
      </c>
      <c r="W5" s="73" t="s">
        <v>138</v>
      </c>
      <c r="X5" s="73" t="s">
        <v>138</v>
      </c>
      <c r="Y5" s="73" t="s">
        <v>138</v>
      </c>
      <c r="Z5" s="73" t="s">
        <v>138</v>
      </c>
      <c r="AA5" s="73" t="s">
        <v>246</v>
      </c>
      <c r="AB5" s="73" t="s">
        <v>247</v>
      </c>
      <c r="AC5" s="73" t="s">
        <v>248</v>
      </c>
      <c r="AD5" s="73" t="s">
        <v>249</v>
      </c>
      <c r="AE5" s="73" t="s">
        <v>250</v>
      </c>
      <c r="AF5" s="75" t="s">
        <v>251</v>
      </c>
      <c r="AG5" s="75" t="s">
        <v>252</v>
      </c>
      <c r="AH5" s="75" t="s">
        <v>253</v>
      </c>
      <c r="AI5" s="87" t="s">
        <v>254</v>
      </c>
      <c r="AJ5" s="75" t="s">
        <v>255</v>
      </c>
      <c r="AK5" s="74" t="s">
        <v>256</v>
      </c>
      <c r="AL5" s="76">
        <v>42.5</v>
      </c>
      <c r="AM5" s="76">
        <v>8</v>
      </c>
      <c r="AN5" s="76">
        <v>3</v>
      </c>
      <c r="AO5" s="40">
        <f>Table134[[#This Row],[Manufacturing Cost/unit ($)]]+Table134[[#This Row],[Shipping Fees ($)]]</f>
        <v>11</v>
      </c>
      <c r="AP5" s="86">
        <v>13</v>
      </c>
      <c r="AQ5" s="86">
        <v>9</v>
      </c>
      <c r="AR5" s="86">
        <v>3.5</v>
      </c>
      <c r="AS5" s="42" t="str">
        <f>'Fulfilment Fee List'!B4</f>
        <v>Large Standard Size</v>
      </c>
      <c r="AT5" s="40">
        <f>Table134[[#This Row],[Goal sell price]]*0.15</f>
        <v>6.375</v>
      </c>
      <c r="AU5" s="50">
        <v>3.19</v>
      </c>
      <c r="AV5" s="42">
        <f>Table134[[#This Row],[Potential Product Length]]*Table134[[#This Row],[Potential Product Width]]*Table134[[#This Row],[Potential Product Height]]/139</f>
        <v>2.9460431654676258</v>
      </c>
      <c r="AW5" s="43">
        <f>MAX(Table134[[#This Row],[Item weight (lbs)]:[Dimensional weight (lbs)]])</f>
        <v>3.19</v>
      </c>
      <c r="AX5" s="44">
        <f>'Fulfilment Fee List'!H4</f>
        <v>5.98</v>
      </c>
      <c r="AY5" s="40">
        <f>IF(Table134[[#This Row],[Goal sell price]],Table134[[#This Row],[Goal sell price]]-Table134[[#This Row],[Estimate Landed Cost/unit ($)]]-Table134[[#This Row],[Referral fees ($)]]-Table134[[#This Row],[Fba Fulfilment Fee]],"NO DATA")</f>
        <v>19.145</v>
      </c>
      <c r="AZ5" s="45">
        <f>IF(Table134[[#This Row],[Goal sell price]],Table134[[#This Row],[Profit Per Unit]]/Table134[[#This Row],[Goal sell price]],"NO DATA")</f>
        <v>0.45047058823529412</v>
      </c>
      <c r="BA5"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9/10 - SUPERB</v>
      </c>
      <c r="BB5" s="47">
        <f t="shared" si="1"/>
        <v>6</v>
      </c>
      <c r="BC5" s="47">
        <f t="shared" si="2"/>
        <v>4</v>
      </c>
      <c r="BD5" s="48">
        <f t="shared" si="3"/>
        <v>10</v>
      </c>
      <c r="BE5" s="48">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9</v>
      </c>
      <c r="BF5" s="49" t="str">
        <f t="shared" si="4"/>
        <v>10/10 - SUPERB</v>
      </c>
      <c r="BG5" s="97">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10</v>
      </c>
      <c r="BH5" s="49" t="s">
        <v>183</v>
      </c>
      <c r="BI5" s="97">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9</v>
      </c>
      <c r="BJ5" s="47">
        <f t="shared" si="5"/>
        <v>9.3333333333333339</v>
      </c>
      <c r="BK5"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9/10 - SUPERB</v>
      </c>
      <c r="BL5" s="87" t="s">
        <v>257</v>
      </c>
    </row>
    <row r="6" spans="1:64" ht="63.6" customHeight="1" x14ac:dyDescent="0.25">
      <c r="A6" s="85" t="s">
        <v>189</v>
      </c>
      <c r="B6" s="51" t="s">
        <v>258</v>
      </c>
      <c r="C6" s="53" t="s">
        <v>259</v>
      </c>
      <c r="D6" s="53" t="s">
        <v>260</v>
      </c>
      <c r="E6" s="54" t="s">
        <v>261</v>
      </c>
      <c r="F6" s="55">
        <v>27.42</v>
      </c>
      <c r="G6" s="55">
        <v>43.99</v>
      </c>
      <c r="H6" s="37" t="str">
        <f>IF(AND(Table134[[#This Row],[Page 1 Average Price]]=0,Table134[[#This Row],[Customer Favorite Price]]=0,Table134[[#This Row],[Customer Favorite Height]]=0),"NO DATA",IF(OR(Table134[[#This Row],[Page 1 Average Price]]&gt;=30,Table134[[#This Row],[Customer Favorite Price]]&gt;=30,),"YES","NO"))</f>
        <v>YES</v>
      </c>
      <c r="I6" s="52">
        <v>295</v>
      </c>
      <c r="J6" s="52">
        <v>416</v>
      </c>
      <c r="K6" s="37" t="str">
        <f>IF(OR(Table134[[#This Row],[Page 1 Average Monthly Sales]]&gt;=300,Table134[[#This Row],[Customer Favorite Monthly Sales]]&gt;=300,),"YES","NO")</f>
        <v>YES</v>
      </c>
      <c r="L6" s="52">
        <v>235</v>
      </c>
      <c r="M6" s="52">
        <v>32</v>
      </c>
      <c r="N6" s="52" t="s">
        <v>139</v>
      </c>
      <c r="O6" s="51">
        <v>2.12</v>
      </c>
      <c r="P6" s="37" t="str">
        <f>IF(Table134[[#This Row],[Customer Favorite weight]]=0,"NO DATA", IF(Table134[[#This Row],[Customer Favorite weight]]&lt;=4.75,"YES", IF(Table134[[#This Row],[Customer Favorite weight]]&gt;=4.75,"NO")))</f>
        <v>YES</v>
      </c>
      <c r="Q6" s="52">
        <v>14.88</v>
      </c>
      <c r="R6" s="52">
        <v>10.55</v>
      </c>
      <c r="S6" s="52">
        <v>4.21</v>
      </c>
      <c r="T6" s="7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YES</v>
      </c>
      <c r="U6"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Large Standard Size</v>
      </c>
      <c r="V6" s="52" t="s">
        <v>139</v>
      </c>
      <c r="W6" s="52" t="s">
        <v>138</v>
      </c>
      <c r="X6" s="52" t="s">
        <v>138</v>
      </c>
      <c r="Y6" s="52" t="s">
        <v>138</v>
      </c>
      <c r="Z6" s="52" t="s">
        <v>138</v>
      </c>
      <c r="AA6" s="52" t="s">
        <v>263</v>
      </c>
      <c r="AB6" s="52" t="s">
        <v>264</v>
      </c>
      <c r="AC6" s="51" t="s">
        <v>265</v>
      </c>
      <c r="AD6" s="54" t="s">
        <v>266</v>
      </c>
      <c r="AE6" s="51" t="s">
        <v>267</v>
      </c>
      <c r="AF6" s="54" t="s">
        <v>268</v>
      </c>
      <c r="AG6" s="56" t="s">
        <v>269</v>
      </c>
      <c r="AH6" s="54" t="s">
        <v>270</v>
      </c>
      <c r="AI6" s="51" t="s">
        <v>271</v>
      </c>
      <c r="AJ6" s="54" t="s">
        <v>272</v>
      </c>
      <c r="AK6" s="53" t="s">
        <v>273</v>
      </c>
      <c r="AL6" s="55">
        <v>44.99</v>
      </c>
      <c r="AM6" s="55">
        <v>9.52</v>
      </c>
      <c r="AN6" s="55">
        <v>2</v>
      </c>
      <c r="AO6" s="40">
        <f>Table134[[#This Row],[Manufacturing Cost/unit ($)]]+Table134[[#This Row],[Shipping Fees ($)]]</f>
        <v>11.52</v>
      </c>
      <c r="AP6" s="52">
        <v>12.204700000000001</v>
      </c>
      <c r="AQ6" s="52">
        <v>5.1181099999999997</v>
      </c>
      <c r="AR6" s="52">
        <v>3.14961</v>
      </c>
      <c r="AS6" s="42" t="str">
        <f>'Fulfilment Fee List'!B5</f>
        <v>Large Standard Size</v>
      </c>
      <c r="AT6" s="40">
        <f>Table134[[#This Row],[Goal sell price]]*0.15</f>
        <v>6.7484999999999999</v>
      </c>
      <c r="AU6" s="51">
        <v>1.96</v>
      </c>
      <c r="AV6" s="42">
        <f>Table134[[#This Row],[Potential Product Length]]*Table134[[#This Row],[Potential Product Width]]*Table134[[#This Row],[Potential Product Height]]/139</f>
        <v>1.4153984141703193</v>
      </c>
      <c r="AW6" s="43">
        <f>MAX(Table134[[#This Row],[Item weight (lbs)]:[Dimensional weight (lbs)]])</f>
        <v>1.96</v>
      </c>
      <c r="AX6" s="44">
        <f>'Fulfilment Fee List'!H5</f>
        <v>4.95</v>
      </c>
      <c r="AY6" s="40">
        <f>IF(Table134[[#This Row],[Goal sell price]],Table134[[#This Row],[Goal sell price]]-Table134[[#This Row],[Estimate Landed Cost/unit ($)]]-Table134[[#This Row],[Referral fees ($)]]-Table134[[#This Row],[Fba Fulfilment Fee]],"NO DATA")</f>
        <v>21.7715</v>
      </c>
      <c r="AZ6" s="45">
        <f>IF(Table134[[#This Row],[Goal sell price]],Table134[[#This Row],[Profit Per Unit]]/Table134[[#This Row],[Goal sell price]],"NO DATA")</f>
        <v>0.4839186485885752</v>
      </c>
      <c r="BA6"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9/10 - SUPERB</v>
      </c>
      <c r="BB6" s="47">
        <f t="shared" si="1"/>
        <v>6</v>
      </c>
      <c r="BC6" s="47">
        <f t="shared" si="2"/>
        <v>4</v>
      </c>
      <c r="BD6" s="48">
        <f t="shared" si="3"/>
        <v>10</v>
      </c>
      <c r="BE6" s="48">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9</v>
      </c>
      <c r="BF6" s="49" t="str">
        <f t="shared" si="4"/>
        <v>10/10 - SUPERB</v>
      </c>
      <c r="BG6" s="97">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10</v>
      </c>
      <c r="BH6" s="49" t="s">
        <v>183</v>
      </c>
      <c r="BI6" s="97">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9</v>
      </c>
      <c r="BJ6" s="47">
        <f t="shared" si="5"/>
        <v>9.3333333333333339</v>
      </c>
      <c r="BK6"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9/10 - SUPERB</v>
      </c>
      <c r="BL6" s="56" t="s">
        <v>274</v>
      </c>
    </row>
    <row r="7" spans="1:64" ht="63.6" customHeight="1" x14ac:dyDescent="0.25">
      <c r="A7" s="92" t="s">
        <v>186</v>
      </c>
      <c r="B7" s="58" t="s">
        <v>275</v>
      </c>
      <c r="C7" s="60" t="s">
        <v>276</v>
      </c>
      <c r="D7" s="60" t="s">
        <v>277</v>
      </c>
      <c r="E7" s="61" t="s">
        <v>278</v>
      </c>
      <c r="F7" s="62">
        <v>38.44</v>
      </c>
      <c r="G7" s="62">
        <v>45.99</v>
      </c>
      <c r="H7" s="37" t="str">
        <f>IF(AND(Table134[[#This Row],[Page 1 Average Price]]=0,Table134[[#This Row],[Customer Favorite Price]]=0,Table134[[#This Row],[Customer Favorite Height]]=0),"NO DATA",IF(OR(Table134[[#This Row],[Page 1 Average Price]]&gt;=30,Table134[[#This Row],[Customer Favorite Price]]&gt;=30,),"YES","NO"))</f>
        <v>YES</v>
      </c>
      <c r="I7" s="59">
        <v>1390</v>
      </c>
      <c r="J7" s="59">
        <v>3599</v>
      </c>
      <c r="K7" s="37" t="str">
        <f>IF(OR(Table134[[#This Row],[Page 1 Average Monthly Sales]]&gt;=300,Table134[[#This Row],[Customer Favorite Monthly Sales]]&gt;=300,),"YES","NO")</f>
        <v>YES</v>
      </c>
      <c r="L7" s="59">
        <v>122</v>
      </c>
      <c r="M7" s="59">
        <v>89</v>
      </c>
      <c r="N7" s="59" t="s">
        <v>139</v>
      </c>
      <c r="O7" s="58">
        <v>2.69</v>
      </c>
      <c r="P7" s="37" t="str">
        <f>IF(Table134[[#This Row],[Customer Favorite weight]]=0,"NO DATA", IF(Table134[[#This Row],[Customer Favorite weight]]&lt;=4.75,"YES", IF(Table134[[#This Row],[Customer Favorite weight]]&gt;=4.75,"NO")))</f>
        <v>YES</v>
      </c>
      <c r="Q7" s="59">
        <v>13.8</v>
      </c>
      <c r="R7" s="59">
        <v>9.8000000000000007</v>
      </c>
      <c r="S7" s="59">
        <v>2.8</v>
      </c>
      <c r="T7" s="3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YES</v>
      </c>
      <c r="U7"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Large Standard Size</v>
      </c>
      <c r="V7" s="59" t="s">
        <v>139</v>
      </c>
      <c r="W7" s="59" t="s">
        <v>138</v>
      </c>
      <c r="X7" s="59" t="s">
        <v>138</v>
      </c>
      <c r="Y7" s="59" t="s">
        <v>138</v>
      </c>
      <c r="Z7" s="59" t="s">
        <v>138</v>
      </c>
      <c r="AA7" s="58" t="s">
        <v>279</v>
      </c>
      <c r="AB7" s="59" t="s">
        <v>280</v>
      </c>
      <c r="AC7" s="58" t="s">
        <v>281</v>
      </c>
      <c r="AD7" s="59" t="s">
        <v>282</v>
      </c>
      <c r="AE7" s="58" t="s">
        <v>283</v>
      </c>
      <c r="AF7" s="61" t="s">
        <v>284</v>
      </c>
      <c r="AG7" s="58" t="s">
        <v>285</v>
      </c>
      <c r="AH7" s="59" t="s">
        <v>286</v>
      </c>
      <c r="AI7" s="65" t="s">
        <v>287</v>
      </c>
      <c r="AJ7" s="61" t="s">
        <v>288</v>
      </c>
      <c r="AK7" s="60" t="s">
        <v>289</v>
      </c>
      <c r="AL7" s="62">
        <v>45.99</v>
      </c>
      <c r="AM7" s="62">
        <v>8</v>
      </c>
      <c r="AN7" s="62">
        <v>3</v>
      </c>
      <c r="AO7" s="40">
        <f>Table134[[#This Row],[Manufacturing Cost/unit ($)]]+Table134[[#This Row],[Shipping Fees ($)]]</f>
        <v>11</v>
      </c>
      <c r="AP7" s="64">
        <v>11.811</v>
      </c>
      <c r="AQ7" s="64">
        <v>11.417299999999999</v>
      </c>
      <c r="AR7" s="64">
        <v>3.9370099999999999</v>
      </c>
      <c r="AS7" s="42" t="str">
        <f>'Fulfilment Fee List'!B6</f>
        <v>Large Standard Size</v>
      </c>
      <c r="AT7" s="40">
        <f>Table134[[#This Row],[Goal sell price]]*0.15</f>
        <v>6.8985000000000003</v>
      </c>
      <c r="AU7" s="58" t="s">
        <v>290</v>
      </c>
      <c r="AV7" s="42">
        <f>Table134[[#This Row],[Potential Product Length]]*Table134[[#This Row],[Potential Product Width]]*Table134[[#This Row],[Potential Product Height]]/139</f>
        <v>3.8194585373266392</v>
      </c>
      <c r="AW7" s="43">
        <f>MAX(Table134[[#This Row],[Item weight (lbs)]:[Dimensional weight (lbs)]])</f>
        <v>3.8194585373266392</v>
      </c>
      <c r="AX7" s="44">
        <f>'Fulfilment Fee List'!H6</f>
        <v>5.98</v>
      </c>
      <c r="AY7" s="40">
        <f>IF(Table134[[#This Row],[Goal sell price]],Table134[[#This Row],[Goal sell price]]-Table134[[#This Row],[Estimate Landed Cost/unit ($)]]-Table134[[#This Row],[Referral fees ($)]]-Table134[[#This Row],[Fba Fulfilment Fee]],"NO DATA")</f>
        <v>22.111500000000003</v>
      </c>
      <c r="AZ7" s="45">
        <f>IF(Table134[[#This Row],[Goal sell price]],Table134[[#This Row],[Profit Per Unit]]/Table134[[#This Row],[Goal sell price]],"NO DATA")</f>
        <v>0.48078930202217879</v>
      </c>
      <c r="BA7"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9/10 - SUPERB</v>
      </c>
      <c r="BB7" s="47">
        <f t="shared" si="1"/>
        <v>6</v>
      </c>
      <c r="BC7" s="47">
        <f t="shared" si="2"/>
        <v>4</v>
      </c>
      <c r="BD7" s="48">
        <f t="shared" si="3"/>
        <v>10</v>
      </c>
      <c r="BE7" s="48">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9</v>
      </c>
      <c r="BF7" s="49" t="str">
        <f t="shared" si="4"/>
        <v>10/10 - SUPERB</v>
      </c>
      <c r="BG7" s="97">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10</v>
      </c>
      <c r="BH7" s="49" t="s">
        <v>183</v>
      </c>
      <c r="BI7" s="97">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9</v>
      </c>
      <c r="BJ7" s="47">
        <f t="shared" si="5"/>
        <v>9.3333333333333339</v>
      </c>
      <c r="BK7"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9/10 - SUPERB</v>
      </c>
      <c r="BL7" s="65" t="s">
        <v>291</v>
      </c>
    </row>
    <row r="8" spans="1:64" ht="63.6" customHeight="1" x14ac:dyDescent="0.25">
      <c r="A8" s="84"/>
      <c r="B8" s="67" t="s">
        <v>292</v>
      </c>
      <c r="C8" s="68" t="s">
        <v>293</v>
      </c>
      <c r="D8" s="68" t="s">
        <v>294</v>
      </c>
      <c r="E8" s="66" t="s">
        <v>295</v>
      </c>
      <c r="F8" s="69">
        <v>21.79</v>
      </c>
      <c r="G8" s="69">
        <v>48.99</v>
      </c>
      <c r="H8" s="37" t="str">
        <f>IF(AND(Table134[[#This Row],[Page 1 Average Price]]=0,Table134[[#This Row],[Customer Favorite Price]]=0,Table134[[#This Row],[Customer Favorite Height]]=0),"NO DATA",IF(OR(Table134[[#This Row],[Page 1 Average Price]]&gt;=30,Table134[[#This Row],[Customer Favorite Price]]&gt;=30,),"YES","NO"))</f>
        <v>YES</v>
      </c>
      <c r="I8" s="66">
        <v>5213</v>
      </c>
      <c r="J8" s="66">
        <v>661</v>
      </c>
      <c r="K8" s="37" t="str">
        <f>IF(OR(Table134[[#This Row],[Page 1 Average Monthly Sales]]&gt;=300,Table134[[#This Row],[Customer Favorite Monthly Sales]]&gt;=300,),"YES","NO")</f>
        <v>YES</v>
      </c>
      <c r="L8" s="66">
        <v>5063</v>
      </c>
      <c r="M8" s="66">
        <v>6</v>
      </c>
      <c r="N8" s="66" t="s">
        <v>139</v>
      </c>
      <c r="O8" s="67">
        <v>2</v>
      </c>
      <c r="P8" s="37" t="str">
        <f>IF(Table134[[#This Row],[Customer Favorite weight]]=0,"NO DATA", IF(Table134[[#This Row],[Customer Favorite weight]]&lt;=4.75,"YES", IF(Table134[[#This Row],[Customer Favorite weight]]&gt;=4.75,"NO")))</f>
        <v>YES</v>
      </c>
      <c r="Q8" s="66">
        <v>12</v>
      </c>
      <c r="R8" s="66">
        <v>12</v>
      </c>
      <c r="S8" s="66">
        <v>3</v>
      </c>
      <c r="T8" s="7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YES</v>
      </c>
      <c r="U8"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Large Standard Size</v>
      </c>
      <c r="V8" s="66" t="s">
        <v>139</v>
      </c>
      <c r="W8" s="66" t="s">
        <v>138</v>
      </c>
      <c r="X8" s="66" t="s">
        <v>138</v>
      </c>
      <c r="Y8" s="66" t="s">
        <v>138</v>
      </c>
      <c r="Z8" s="66" t="s">
        <v>138</v>
      </c>
      <c r="AA8" s="66" t="s">
        <v>296</v>
      </c>
      <c r="AB8" s="66" t="s">
        <v>297</v>
      </c>
      <c r="AC8" s="67" t="s">
        <v>298</v>
      </c>
      <c r="AD8" s="66" t="s">
        <v>299</v>
      </c>
      <c r="AE8" s="67" t="s">
        <v>300</v>
      </c>
      <c r="AF8" s="66" t="s">
        <v>301</v>
      </c>
      <c r="AG8" s="67" t="s">
        <v>302</v>
      </c>
      <c r="AH8" s="66" t="s">
        <v>303</v>
      </c>
      <c r="AI8" s="67" t="s">
        <v>304</v>
      </c>
      <c r="AJ8" s="66" t="s">
        <v>305</v>
      </c>
      <c r="AK8" s="68" t="s">
        <v>306</v>
      </c>
      <c r="AL8" s="69">
        <v>49.99</v>
      </c>
      <c r="AM8" s="69">
        <v>7.8</v>
      </c>
      <c r="AN8" s="69">
        <v>3.5</v>
      </c>
      <c r="AO8" s="40">
        <f>Table134[[#This Row],[Manufacturing Cost/unit ($)]]+Table134[[#This Row],[Shipping Fees ($)]]</f>
        <v>11.3</v>
      </c>
      <c r="AP8" s="70">
        <v>12</v>
      </c>
      <c r="AQ8" s="70">
        <v>12</v>
      </c>
      <c r="AR8" s="70">
        <v>3</v>
      </c>
      <c r="AS8" s="42" t="str">
        <f>'Fulfilment Fee List'!B7</f>
        <v>Large Standard Size</v>
      </c>
      <c r="AT8" s="40">
        <f>Table134[[#This Row],[Goal sell price]]*0.15</f>
        <v>7.4984999999999999</v>
      </c>
      <c r="AU8" s="67">
        <v>2</v>
      </c>
      <c r="AV8" s="42">
        <f>Table134[[#This Row],[Potential Product Length]]*Table134[[#This Row],[Potential Product Width]]*Table134[[#This Row],[Potential Product Height]]/139</f>
        <v>3.1079136690647484</v>
      </c>
      <c r="AW8" s="43">
        <f>MAX(Table134[[#This Row],[Item weight (lbs)]:[Dimensional weight (lbs)]])</f>
        <v>3.1079136690647484</v>
      </c>
      <c r="AX8" s="44">
        <f>'Fulfilment Fee List'!H7</f>
        <v>5.98</v>
      </c>
      <c r="AY8" s="40">
        <f>IF(Table134[[#This Row],[Goal sell price]],Table134[[#This Row],[Goal sell price]]-Table134[[#This Row],[Estimate Landed Cost/unit ($)]]-Table134[[#This Row],[Referral fees ($)]]-Table134[[#This Row],[Fba Fulfilment Fee]],"NO DATA")</f>
        <v>25.211499999999997</v>
      </c>
      <c r="AZ8" s="45">
        <f>IF(Table134[[#This Row],[Goal sell price]],Table134[[#This Row],[Profit Per Unit]]/Table134[[#This Row],[Goal sell price]],"NO DATA")</f>
        <v>0.50433086617323453</v>
      </c>
      <c r="BA8"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10/10 - SUPERB</v>
      </c>
      <c r="BB8" s="47">
        <f t="shared" si="1"/>
        <v>6</v>
      </c>
      <c r="BC8" s="47">
        <f t="shared" si="2"/>
        <v>4</v>
      </c>
      <c r="BD8" s="48">
        <f t="shared" si="3"/>
        <v>10</v>
      </c>
      <c r="BE8" s="48">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10</v>
      </c>
      <c r="BF8" s="49" t="str">
        <f t="shared" si="4"/>
        <v>10/10 - SUPERB</v>
      </c>
      <c r="BG8" s="97">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10</v>
      </c>
      <c r="BH8" s="49" t="s">
        <v>183</v>
      </c>
      <c r="BI8" s="97">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9</v>
      </c>
      <c r="BJ8" s="47">
        <f t="shared" si="5"/>
        <v>9.6666666666666661</v>
      </c>
      <c r="BK8"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9/10 - SUPERB</v>
      </c>
      <c r="BL8" s="32"/>
    </row>
    <row r="9" spans="1:64" ht="63.6" customHeight="1" x14ac:dyDescent="0.25">
      <c r="A9" s="85" t="s">
        <v>190</v>
      </c>
      <c r="B9" s="87" t="s">
        <v>307</v>
      </c>
      <c r="C9" s="88" t="s">
        <v>308</v>
      </c>
      <c r="D9" s="88" t="s">
        <v>309</v>
      </c>
      <c r="E9" s="75" t="s">
        <v>310</v>
      </c>
      <c r="F9" s="89">
        <v>30.21</v>
      </c>
      <c r="G9" s="89">
        <v>49.89</v>
      </c>
      <c r="H9" s="37" t="str">
        <f>IF(AND(Table134[[#This Row],[Page 1 Average Price]]=0,Table134[[#This Row],[Customer Favorite Price]]=0,Table134[[#This Row],[Customer Favorite Height]]=0),"NO DATA",IF(OR(Table134[[#This Row],[Page 1 Average Price]]&gt;=30,Table134[[#This Row],[Customer Favorite Price]]&gt;=30,),"YES","NO"))</f>
        <v>YES</v>
      </c>
      <c r="I9" s="75">
        <v>314</v>
      </c>
      <c r="J9" s="75">
        <v>361</v>
      </c>
      <c r="K9" s="37" t="str">
        <f>IF(OR(Table134[[#This Row],[Page 1 Average Monthly Sales]]&gt;=300,Table134[[#This Row],[Customer Favorite Monthly Sales]]&gt;=300,),"YES","NO")</f>
        <v>YES</v>
      </c>
      <c r="L9" s="75">
        <v>382</v>
      </c>
      <c r="M9" s="75">
        <v>62</v>
      </c>
      <c r="N9" s="75" t="s">
        <v>139</v>
      </c>
      <c r="O9" s="87">
        <v>1.91</v>
      </c>
      <c r="P9" s="37" t="str">
        <f>IF(Table134[[#This Row],[Customer Favorite weight]]=0,"NO DATA", IF(Table134[[#This Row],[Customer Favorite weight]]&lt;=4.75,"YES", IF(Table134[[#This Row],[Customer Favorite weight]]&gt;=4.75,"NO")))</f>
        <v>YES</v>
      </c>
      <c r="Q9" s="75">
        <v>11.38</v>
      </c>
      <c r="R9" s="75">
        <v>6.85</v>
      </c>
      <c r="S9" s="75">
        <v>4.88</v>
      </c>
      <c r="T9" s="3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YES</v>
      </c>
      <c r="U9"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Large Standard Size</v>
      </c>
      <c r="V9" s="75" t="s">
        <v>139</v>
      </c>
      <c r="W9" s="75" t="s">
        <v>138</v>
      </c>
      <c r="X9" s="75" t="s">
        <v>138</v>
      </c>
      <c r="Y9" s="75" t="s">
        <v>138</v>
      </c>
      <c r="Z9" s="75" t="s">
        <v>138</v>
      </c>
      <c r="AA9" s="75" t="s">
        <v>311</v>
      </c>
      <c r="AB9" s="75" t="s">
        <v>312</v>
      </c>
      <c r="AC9" s="87" t="s">
        <v>313</v>
      </c>
      <c r="AD9" s="75" t="s">
        <v>314</v>
      </c>
      <c r="AE9" s="87" t="s">
        <v>315</v>
      </c>
      <c r="AF9" s="75" t="s">
        <v>316</v>
      </c>
      <c r="AG9" s="87" t="s">
        <v>317</v>
      </c>
      <c r="AH9" s="75" t="s">
        <v>318</v>
      </c>
      <c r="AI9" s="87" t="s">
        <v>319</v>
      </c>
      <c r="AJ9" s="75" t="s">
        <v>320</v>
      </c>
      <c r="AK9" s="88" t="s">
        <v>321</v>
      </c>
      <c r="AL9" s="89">
        <v>49.99</v>
      </c>
      <c r="AM9" s="89">
        <v>7.5</v>
      </c>
      <c r="AN9" s="89">
        <v>3</v>
      </c>
      <c r="AO9" s="40">
        <f>Table134[[#This Row],[Manufacturing Cost/unit ($)]]+Table134[[#This Row],[Shipping Fees ($)]]</f>
        <v>10.5</v>
      </c>
      <c r="AP9" s="90">
        <v>7.0866100000000003</v>
      </c>
      <c r="AQ9" s="90">
        <v>5.9055099999999996</v>
      </c>
      <c r="AR9" s="90">
        <v>2.7559100000000001</v>
      </c>
      <c r="AS9" s="42" t="str">
        <f>'Fulfilment Fee List'!B8</f>
        <v>Large Standard Size</v>
      </c>
      <c r="AT9" s="40">
        <f>Table134[[#This Row],[Goal sell price]]*0.15</f>
        <v>7.4984999999999999</v>
      </c>
      <c r="AU9" s="87">
        <v>1.9841599999999999</v>
      </c>
      <c r="AV9" s="42">
        <f>Table134[[#This Row],[Potential Product Length]]*Table134[[#This Row],[Potential Product Width]]*Table134[[#This Row],[Potential Product Height]]/139</f>
        <v>0.82974792000857345</v>
      </c>
      <c r="AW9" s="43">
        <f>MAX(Table134[[#This Row],[Item weight (lbs)]:[Dimensional weight (lbs)]])</f>
        <v>1.9841599999999999</v>
      </c>
      <c r="AX9" s="44">
        <f>'Fulfilment Fee List'!H8</f>
        <v>4.95</v>
      </c>
      <c r="AY9" s="40">
        <f>IF(Table134[[#This Row],[Goal sell price]],Table134[[#This Row],[Goal sell price]]-Table134[[#This Row],[Estimate Landed Cost/unit ($)]]-Table134[[#This Row],[Referral fees ($)]]-Table134[[#This Row],[Fba Fulfilment Fee]],"NO DATA")</f>
        <v>27.041500000000003</v>
      </c>
      <c r="AZ9" s="45">
        <f>IF(Table134[[#This Row],[Goal sell price]],Table134[[#This Row],[Profit Per Unit]]/Table134[[#This Row],[Goal sell price]],"NO DATA")</f>
        <v>0.54093818763752755</v>
      </c>
      <c r="BA9"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10/10 - SUPERB</v>
      </c>
      <c r="BB9" s="47">
        <f t="shared" si="1"/>
        <v>6</v>
      </c>
      <c r="BC9" s="47">
        <f t="shared" si="2"/>
        <v>4</v>
      </c>
      <c r="BD9" s="48">
        <f t="shared" si="3"/>
        <v>10</v>
      </c>
      <c r="BE9" s="48">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10</v>
      </c>
      <c r="BF9" s="49" t="str">
        <f t="shared" si="4"/>
        <v>10/10 - SUPERB</v>
      </c>
      <c r="BG9" s="97">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10</v>
      </c>
      <c r="BH9" s="49" t="s">
        <v>183</v>
      </c>
      <c r="BI9" s="97">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9</v>
      </c>
      <c r="BJ9" s="47">
        <f t="shared" si="5"/>
        <v>9.6666666666666661</v>
      </c>
      <c r="BK9"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9/10 - SUPERB</v>
      </c>
      <c r="BL9" s="87"/>
    </row>
    <row r="10" spans="1:64" ht="63.6" customHeight="1" x14ac:dyDescent="0.25">
      <c r="A10" s="83" t="s">
        <v>188</v>
      </c>
      <c r="B10" s="87" t="s">
        <v>322</v>
      </c>
      <c r="C10" s="88" t="s">
        <v>323</v>
      </c>
      <c r="D10" s="88" t="s">
        <v>324</v>
      </c>
      <c r="E10" s="75" t="s">
        <v>325</v>
      </c>
      <c r="F10" s="89">
        <v>34.51</v>
      </c>
      <c r="G10" s="89">
        <v>34.880000000000003</v>
      </c>
      <c r="H10" s="37" t="str">
        <f>IF(AND(Table134[[#This Row],[Page 1 Average Price]]=0,Table134[[#This Row],[Customer Favorite Price]]=0,Table134[[#This Row],[Customer Favorite Height]]=0),"NO DATA",IF(OR(Table134[[#This Row],[Page 1 Average Price]]&gt;=30,Table134[[#This Row],[Customer Favorite Price]]&gt;=30,),"YES","NO"))</f>
        <v>YES</v>
      </c>
      <c r="I10" s="75">
        <v>503</v>
      </c>
      <c r="J10" s="75">
        <v>659</v>
      </c>
      <c r="K10" s="37" t="str">
        <f>IF(OR(Table134[[#This Row],[Page 1 Average Monthly Sales]]&gt;=300,Table134[[#This Row],[Customer Favorite Monthly Sales]]&gt;=300,),"YES","NO")</f>
        <v>YES</v>
      </c>
      <c r="L10" s="75">
        <v>498</v>
      </c>
      <c r="M10" s="75">
        <v>59</v>
      </c>
      <c r="N10" s="75" t="s">
        <v>139</v>
      </c>
      <c r="O10" s="87">
        <v>2.5499999999999998</v>
      </c>
      <c r="P10" s="37" t="str">
        <f>IF(Table134[[#This Row],[Customer Favorite weight]]=0,"NO DATA", IF(Table134[[#This Row],[Customer Favorite weight]]&lt;=4.75,"YES", IF(Table134[[#This Row],[Customer Favorite weight]]&gt;=4.75,"NO")))</f>
        <v>YES</v>
      </c>
      <c r="Q10" s="75">
        <v>17.399999999999999</v>
      </c>
      <c r="R10" s="75">
        <v>6.14</v>
      </c>
      <c r="S10" s="75">
        <v>2.13</v>
      </c>
      <c r="T10" s="7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YES</v>
      </c>
      <c r="U10"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Large Standard Size</v>
      </c>
      <c r="V10" s="75" t="s">
        <v>139</v>
      </c>
      <c r="W10" s="75" t="s">
        <v>139</v>
      </c>
      <c r="X10" s="75" t="s">
        <v>138</v>
      </c>
      <c r="Y10" s="75" t="s">
        <v>138</v>
      </c>
      <c r="Z10" s="75" t="s">
        <v>138</v>
      </c>
      <c r="AA10" s="87" t="s">
        <v>326</v>
      </c>
      <c r="AB10" s="75" t="s">
        <v>327</v>
      </c>
      <c r="AC10" s="87" t="s">
        <v>328</v>
      </c>
      <c r="AD10" s="75" t="s">
        <v>329</v>
      </c>
      <c r="AE10" s="87" t="s">
        <v>330</v>
      </c>
      <c r="AF10" s="75" t="s">
        <v>312</v>
      </c>
      <c r="AG10" s="87" t="s">
        <v>331</v>
      </c>
      <c r="AH10" s="75" t="s">
        <v>332</v>
      </c>
      <c r="AI10" s="87" t="s">
        <v>333</v>
      </c>
      <c r="AJ10" s="75" t="s">
        <v>334</v>
      </c>
      <c r="AK10" s="88" t="s">
        <v>335</v>
      </c>
      <c r="AL10" s="89">
        <v>33.99</v>
      </c>
      <c r="AM10" s="89">
        <v>3</v>
      </c>
      <c r="AN10" s="89">
        <v>3</v>
      </c>
      <c r="AO10" s="40">
        <f>Table134[[#This Row],[Manufacturing Cost/unit ($)]]+Table134[[#This Row],[Shipping Fees ($)]]</f>
        <v>6</v>
      </c>
      <c r="AP10" s="91">
        <v>18</v>
      </c>
      <c r="AQ10" s="91">
        <v>6.2</v>
      </c>
      <c r="AR10" s="91">
        <v>2.2999999999999998</v>
      </c>
      <c r="AS10" s="42" t="str">
        <f>'Fulfilment Fee List'!B9</f>
        <v>Large Standard Size</v>
      </c>
      <c r="AT10" s="40">
        <f>Table134[[#This Row],[Goal sell price]]*0.15</f>
        <v>5.0985000000000005</v>
      </c>
      <c r="AU10" s="87">
        <v>2.46</v>
      </c>
      <c r="AV10" s="42">
        <f>Table134[[#This Row],[Potential Product Length]]*Table134[[#This Row],[Potential Product Width]]*Table134[[#This Row],[Potential Product Height]]/139</f>
        <v>1.8466187050359713</v>
      </c>
      <c r="AW10" s="43">
        <f>MAX(Table134[[#This Row],[Item weight (lbs)]:[Dimensional weight (lbs)]])</f>
        <v>2.46</v>
      </c>
      <c r="AX10" s="44">
        <f>'Fulfilment Fee List'!H9</f>
        <v>5.68</v>
      </c>
      <c r="AY10" s="40">
        <f>IF(Table134[[#This Row],[Goal sell price]],Table134[[#This Row],[Goal sell price]]-Table134[[#This Row],[Estimate Landed Cost/unit ($)]]-Table134[[#This Row],[Referral fees ($)]]-Table134[[#This Row],[Fba Fulfilment Fee]],"NO DATA")</f>
        <v>17.211500000000001</v>
      </c>
      <c r="AZ10" s="45">
        <f>IF(Table134[[#This Row],[Goal sell price]],Table134[[#This Row],[Profit Per Unit]]/Table134[[#This Row],[Goal sell price]],"NO DATA")</f>
        <v>0.5063695204471903</v>
      </c>
      <c r="BA10"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10/10 - SUPERB</v>
      </c>
      <c r="BB10" s="47">
        <f t="shared" si="1"/>
        <v>6</v>
      </c>
      <c r="BC10" s="47">
        <f t="shared" si="2"/>
        <v>3</v>
      </c>
      <c r="BD10" s="48">
        <f t="shared" si="3"/>
        <v>9</v>
      </c>
      <c r="BE10" s="48">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10</v>
      </c>
      <c r="BF10" s="49" t="str">
        <f t="shared" si="4"/>
        <v>9/10 - SUPERB</v>
      </c>
      <c r="BG10" s="97">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9</v>
      </c>
      <c r="BH10" s="49" t="s">
        <v>183</v>
      </c>
      <c r="BI10" s="97">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9</v>
      </c>
      <c r="BJ10" s="47">
        <f t="shared" si="5"/>
        <v>9.3333333333333339</v>
      </c>
      <c r="BK10"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9/10 - SUPERB</v>
      </c>
      <c r="BL10" s="87"/>
    </row>
    <row r="11" spans="1:64" ht="63.6" customHeight="1" x14ac:dyDescent="0.25">
      <c r="A11" s="82"/>
      <c r="B11" s="87" t="s">
        <v>339</v>
      </c>
      <c r="C11" s="88" t="s">
        <v>340</v>
      </c>
      <c r="D11" s="88" t="s">
        <v>341</v>
      </c>
      <c r="E11" s="75" t="s">
        <v>342</v>
      </c>
      <c r="F11" s="89">
        <v>21.12</v>
      </c>
      <c r="G11" s="89">
        <v>47.99</v>
      </c>
      <c r="H11" s="37" t="str">
        <f>IF(AND(Table134[[#This Row],[Page 1 Average Price]]=0,Table134[[#This Row],[Customer Favorite Price]]=0,Table134[[#This Row],[Customer Favorite Height]]=0),"NO DATA",IF(OR(Table134[[#This Row],[Page 1 Average Price]]&gt;=30,Table134[[#This Row],[Customer Favorite Price]]&gt;=30,),"YES","NO"))</f>
        <v>YES</v>
      </c>
      <c r="I11" s="75">
        <v>1624</v>
      </c>
      <c r="J11" s="75">
        <v>1354</v>
      </c>
      <c r="K11" s="37" t="str">
        <f>IF(OR(Table134[[#This Row],[Page 1 Average Monthly Sales]]&gt;=300,Table134[[#This Row],[Customer Favorite Monthly Sales]]&gt;=300,),"YES","NO")</f>
        <v>YES</v>
      </c>
      <c r="L11" s="75">
        <v>693</v>
      </c>
      <c r="M11" s="75">
        <v>92</v>
      </c>
      <c r="N11" s="75" t="s">
        <v>139</v>
      </c>
      <c r="O11" s="87">
        <v>5.86</v>
      </c>
      <c r="P11" s="37" t="str">
        <f>IF(Table134[[#This Row],[Customer Favorite weight]]=0,"NO DATA", IF(Table134[[#This Row],[Customer Favorite weight]]&lt;=4.75,"YES", IF(Table134[[#This Row],[Customer Favorite weight]]&gt;=4.75,"NO")))</f>
        <v>NO</v>
      </c>
      <c r="Q11" s="75">
        <v>17.5</v>
      </c>
      <c r="R11" s="75">
        <v>13.94</v>
      </c>
      <c r="S11" s="75">
        <v>1.5</v>
      </c>
      <c r="T11" s="7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YES</v>
      </c>
      <c r="U11"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Large Standard Size</v>
      </c>
      <c r="V11" s="75" t="s">
        <v>139</v>
      </c>
      <c r="W11" s="75" t="s">
        <v>138</v>
      </c>
      <c r="X11" s="75" t="s">
        <v>138</v>
      </c>
      <c r="Y11" s="75" t="s">
        <v>138</v>
      </c>
      <c r="Z11" s="75" t="s">
        <v>138</v>
      </c>
      <c r="AA11" s="75" t="s">
        <v>343</v>
      </c>
      <c r="AB11" s="75" t="s">
        <v>344</v>
      </c>
      <c r="AC11" s="87" t="s">
        <v>345</v>
      </c>
      <c r="AD11" s="75" t="s">
        <v>346</v>
      </c>
      <c r="AE11" s="87" t="s">
        <v>347</v>
      </c>
      <c r="AF11" s="75" t="s">
        <v>348</v>
      </c>
      <c r="AG11" s="87" t="s">
        <v>349</v>
      </c>
      <c r="AH11" s="75" t="s">
        <v>350</v>
      </c>
      <c r="AI11" s="87" t="s">
        <v>351</v>
      </c>
      <c r="AJ11" s="75" t="s">
        <v>352</v>
      </c>
      <c r="AK11" s="88" t="s">
        <v>353</v>
      </c>
      <c r="AL11" s="89">
        <v>39.99</v>
      </c>
      <c r="AM11" s="89">
        <v>4.5</v>
      </c>
      <c r="AN11" s="89">
        <v>3</v>
      </c>
      <c r="AO11" s="40">
        <f>Table134[[#This Row],[Manufacturing Cost/unit ($)]]+Table134[[#This Row],[Shipping Fees ($)]]</f>
        <v>7.5</v>
      </c>
      <c r="AP11" s="90">
        <v>16.57</v>
      </c>
      <c r="AQ11" s="90">
        <v>9.57</v>
      </c>
      <c r="AR11" s="90">
        <v>1.18</v>
      </c>
      <c r="AS11" s="42" t="str">
        <f>'Fulfilment Fee List'!B10</f>
        <v>Large Standard Size</v>
      </c>
      <c r="AT11" s="40">
        <f>Table134[[#This Row],[Goal sell price]]*0.15</f>
        <v>5.9984999999999999</v>
      </c>
      <c r="AU11" s="87">
        <v>3.54</v>
      </c>
      <c r="AV11" s="42">
        <f>Table134[[#This Row],[Potential Product Length]]*Table134[[#This Row],[Potential Product Width]]*Table134[[#This Row],[Potential Product Height]]/139</f>
        <v>1.3461754100719425</v>
      </c>
      <c r="AW11" s="43">
        <f>MAX(Table134[[#This Row],[Item weight (lbs)]:[Dimensional weight (lbs)]])</f>
        <v>3.54</v>
      </c>
      <c r="AX11" s="44">
        <f>'Fulfilment Fee List'!H10</f>
        <v>5.98</v>
      </c>
      <c r="AY11" s="40">
        <f>IF(Table134[[#This Row],[Goal sell price]],Table134[[#This Row],[Goal sell price]]-Table134[[#This Row],[Estimate Landed Cost/unit ($)]]-Table134[[#This Row],[Referral fees ($)]]-Table134[[#This Row],[Fba Fulfilment Fee]],"NO DATA")</f>
        <v>20.511500000000002</v>
      </c>
      <c r="AZ11" s="45">
        <f>IF(Table134[[#This Row],[Goal sell price]],Table134[[#This Row],[Profit Per Unit]]/Table134[[#This Row],[Goal sell price]],"NO DATA")</f>
        <v>0.51291572893223303</v>
      </c>
      <c r="BA11"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10/10 - SUPERB</v>
      </c>
      <c r="BB11" s="47">
        <f t="shared" ref="BB11" si="6">COUNTIF(H11:V11,"YES")</f>
        <v>5</v>
      </c>
      <c r="BC11" s="47">
        <f t="shared" ref="BC11" si="7">COUNTIF(W11:Z11,"NO")</f>
        <v>4</v>
      </c>
      <c r="BD11" s="48">
        <f t="shared" ref="BD11" si="8">SUM(BB11:BC11)</f>
        <v>9</v>
      </c>
      <c r="BE11" s="48">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10</v>
      </c>
      <c r="BF11" s="49" t="str">
        <f t="shared" ref="BF11" si="9">IF(AND(BD11=0),"NO DATA",
IF(AND(BD11=1),"1/10 - BAD",
IF(AND(BD11=2),"2/10 - BAD",
IF(AND(BD11=3),"3/10 - BAD",
IF(AND(BD11=4),"4/10 - BAD",
IF(AND(BD11=5),"5/10 - DECENT",
IF(AND(BD11=6),"6/10 - DECENT",
IF(AND(BD11=7),"7/10 - GREAT",
IF(AND(BD11=8),"8/10 - GREAT",
IF(AND(BD11=9),"9/10 - SUPERB",
IF(AND(BD11=10),"10/10 - SUPERB")))))))))))</f>
        <v>9/10 - SUPERB</v>
      </c>
      <c r="BG11" s="97">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9</v>
      </c>
      <c r="BH11" s="49" t="s">
        <v>183</v>
      </c>
      <c r="BI11" s="97">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9</v>
      </c>
      <c r="BJ11" s="47">
        <f t="shared" ref="BJ11" si="10">IF(OR(BE11="NO DATA",BG11="NO DATA",BI11="NO DATA"),"NO DATA",(BE11+BG11+BI11)/3)</f>
        <v>9.3333333333333339</v>
      </c>
      <c r="BK11"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9/10 - SUPERB</v>
      </c>
      <c r="BL11" s="87"/>
    </row>
    <row r="12" spans="1:64" ht="63.6" customHeight="1" x14ac:dyDescent="0.25">
      <c r="A12" s="57" t="s">
        <v>222</v>
      </c>
      <c r="B12" s="72" t="s">
        <v>354</v>
      </c>
      <c r="C12" s="98" t="s">
        <v>355</v>
      </c>
      <c r="D12" s="74" t="s">
        <v>356</v>
      </c>
      <c r="E12" s="99" t="s">
        <v>357</v>
      </c>
      <c r="F12" s="63">
        <v>31.67</v>
      </c>
      <c r="G12" s="100">
        <v>48.99</v>
      </c>
      <c r="H12" s="37" t="s">
        <v>139</v>
      </c>
      <c r="I12" s="73">
        <v>242</v>
      </c>
      <c r="J12" s="73">
        <v>458</v>
      </c>
      <c r="K12" s="37" t="s">
        <v>139</v>
      </c>
      <c r="L12" s="73">
        <v>497</v>
      </c>
      <c r="M12" s="73">
        <v>75</v>
      </c>
      <c r="N12" s="73" t="s">
        <v>139</v>
      </c>
      <c r="O12" s="72">
        <v>1.7</v>
      </c>
      <c r="P12" s="37" t="s">
        <v>139</v>
      </c>
      <c r="Q12" s="73">
        <v>11.65</v>
      </c>
      <c r="R12" s="73">
        <v>7.83</v>
      </c>
      <c r="S12" s="73">
        <v>2.2799999999999998</v>
      </c>
      <c r="T12" s="71" t="s">
        <v>139</v>
      </c>
      <c r="U12" s="31" t="s">
        <v>262</v>
      </c>
      <c r="V12" s="73" t="s">
        <v>139</v>
      </c>
      <c r="W12" s="73" t="s">
        <v>138</v>
      </c>
      <c r="X12" s="73" t="s">
        <v>138</v>
      </c>
      <c r="Y12" s="73" t="s">
        <v>138</v>
      </c>
      <c r="Z12" s="73" t="s">
        <v>138</v>
      </c>
      <c r="AA12" s="73" t="s">
        <v>358</v>
      </c>
      <c r="AB12" s="73" t="s">
        <v>359</v>
      </c>
      <c r="AC12" s="72" t="s">
        <v>360</v>
      </c>
      <c r="AD12" s="73" t="s">
        <v>361</v>
      </c>
      <c r="AE12" s="72" t="s">
        <v>362</v>
      </c>
      <c r="AF12" s="73" t="s">
        <v>363</v>
      </c>
      <c r="AG12" s="72" t="s">
        <v>364</v>
      </c>
      <c r="AH12" s="73" t="s">
        <v>365</v>
      </c>
      <c r="AI12" s="72" t="s">
        <v>366</v>
      </c>
      <c r="AJ12" s="73" t="s">
        <v>367</v>
      </c>
      <c r="AK12" s="101" t="s">
        <v>368</v>
      </c>
      <c r="AL12" s="76">
        <v>46.99</v>
      </c>
      <c r="AM12" s="63">
        <v>16</v>
      </c>
      <c r="AN12" s="63">
        <v>2</v>
      </c>
      <c r="AO12" s="40">
        <v>18</v>
      </c>
      <c r="AP12" s="86">
        <v>11.811</v>
      </c>
      <c r="AQ12" s="86">
        <v>7.8740199999999998</v>
      </c>
      <c r="AR12" s="86">
        <v>3.14961</v>
      </c>
      <c r="AS12" s="42" t="s">
        <v>262</v>
      </c>
      <c r="AT12" s="40">
        <v>7.0484999999999998</v>
      </c>
      <c r="AU12" s="72">
        <v>2.2000000000000002</v>
      </c>
      <c r="AV12" s="42">
        <v>2.1072941595209653</v>
      </c>
      <c r="AW12" s="43">
        <v>2.2000000000000002</v>
      </c>
      <c r="AX12" s="44">
        <v>5.68</v>
      </c>
      <c r="AY12" s="40">
        <v>16.261500000000002</v>
      </c>
      <c r="AZ12" s="45">
        <v>0.34606299212598429</v>
      </c>
      <c r="BA12" s="46" t="s">
        <v>225</v>
      </c>
      <c r="BB12" s="47">
        <v>6</v>
      </c>
      <c r="BC12" s="47">
        <v>4</v>
      </c>
      <c r="BD12" s="48">
        <v>10</v>
      </c>
      <c r="BE12" s="48">
        <v>6</v>
      </c>
      <c r="BF12" s="49" t="s">
        <v>241</v>
      </c>
      <c r="BG12" s="97">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10</v>
      </c>
      <c r="BH12" s="49" t="s">
        <v>183</v>
      </c>
      <c r="BI12" s="97">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9</v>
      </c>
      <c r="BJ12" s="47">
        <v>8.3333333333333339</v>
      </c>
      <c r="BK12" s="48" t="s">
        <v>224</v>
      </c>
      <c r="BL12" s="101" t="s">
        <v>369</v>
      </c>
    </row>
    <row r="13" spans="1:64" ht="63.6" customHeight="1" x14ac:dyDescent="0.25">
      <c r="A13" s="95" t="s">
        <v>223</v>
      </c>
      <c r="B13" s="72"/>
      <c r="C13" s="72"/>
      <c r="D13" s="74"/>
      <c r="E13" s="73"/>
      <c r="F13" s="72"/>
      <c r="G13" s="73"/>
      <c r="H13" s="37" t="str">
        <f>IF(AND(Table134[[#This Row],[Page 1 Average Price]]=0,Table134[[#This Row],[Customer Favorite Price]]=0,Table134[[#This Row],[Customer Favorite Height]]=0),"NO DATA",IF(OR(Table134[[#This Row],[Page 1 Average Price]]&gt;=30,Table134[[#This Row],[Customer Favorite Price]]&gt;=30,),"YES","NO"))</f>
        <v>NO DATA</v>
      </c>
      <c r="I13" s="73"/>
      <c r="J13" s="73"/>
      <c r="K13" s="37" t="str">
        <f>IF(OR(Table134[[#This Row],[Page 1 Average Monthly Sales]]&gt;=300,Table134[[#This Row],[Customer Favorite Monthly Sales]]&gt;=300,),"YES","NO")</f>
        <v>NO</v>
      </c>
      <c r="L13" s="73"/>
      <c r="M13" s="73"/>
      <c r="N13" s="73"/>
      <c r="O13" s="72"/>
      <c r="P13" s="37" t="str">
        <f>IF(Table134[[#This Row],[Customer Favorite weight]]=0,"NO DATA", IF(Table134[[#This Row],[Customer Favorite weight]]&lt;=4.75,"YES", IF(Table134[[#This Row],[Customer Favorite weight]]&gt;=4.75,"NO")))</f>
        <v>NO DATA</v>
      </c>
      <c r="Q13" s="73"/>
      <c r="R13" s="73"/>
      <c r="S13" s="73"/>
      <c r="T13" s="3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13"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13" s="73"/>
      <c r="W13" s="73"/>
      <c r="X13" s="73"/>
      <c r="Y13" s="73"/>
      <c r="Z13" s="73"/>
      <c r="AA13" s="72"/>
      <c r="AB13" s="73"/>
      <c r="AC13" s="72"/>
      <c r="AD13" s="73"/>
      <c r="AE13" s="72"/>
      <c r="AF13" s="73"/>
      <c r="AG13" s="72"/>
      <c r="AH13" s="73"/>
      <c r="AI13" s="72"/>
      <c r="AJ13" s="73"/>
      <c r="AK13" s="72"/>
      <c r="AL13" s="76"/>
      <c r="AM13" s="72"/>
      <c r="AN13" s="72"/>
      <c r="AO13" s="40">
        <f>Table134[[#This Row],[Manufacturing Cost/unit ($)]]+Table134[[#This Row],[Shipping Fees ($)]]</f>
        <v>0</v>
      </c>
      <c r="AP13" s="64"/>
      <c r="AQ13" s="64"/>
      <c r="AR13" s="64"/>
      <c r="AS13" s="42" t="str">
        <f>'Fulfilment Fee List'!B12</f>
        <v>NO DATA</v>
      </c>
      <c r="AT13" s="40">
        <f>Table134[[#This Row],[Goal sell price]]*0.15</f>
        <v>0</v>
      </c>
      <c r="AU13" s="72"/>
      <c r="AV13" s="42">
        <f>Table134[[#This Row],[Potential Product Length]]*Table134[[#This Row],[Potential Product Width]]*Table134[[#This Row],[Potential Product Height]]/139</f>
        <v>0</v>
      </c>
      <c r="AW13" s="43">
        <f>MAX(Table134[[#This Row],[Item weight (lbs)]:[Dimensional weight (lbs)]])</f>
        <v>0</v>
      </c>
      <c r="AX13" s="44" t="str">
        <f>'Fulfilment Fee List'!H12</f>
        <v>NO DATA</v>
      </c>
      <c r="AY13" s="40" t="str">
        <f>IF(Table134[[#This Row],[Goal sell price]],Table134[[#This Row],[Goal sell price]]-Table134[[#This Row],[Estimate Landed Cost/unit ($)]]-Table134[[#This Row],[Referral fees ($)]]-Table134[[#This Row],[Fba Fulfilment Fee]],"NO DATA")</f>
        <v>NO DATA</v>
      </c>
      <c r="AZ13" s="45" t="str">
        <f>IF(Table134[[#This Row],[Goal sell price]],Table134[[#This Row],[Profit Per Unit]]/Table134[[#This Row],[Goal sell price]],"NO DATA")</f>
        <v>NO DATA</v>
      </c>
      <c r="BA13"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13" s="47">
        <f t="shared" si="1"/>
        <v>0</v>
      </c>
      <c r="BC13" s="47">
        <f t="shared" si="2"/>
        <v>0</v>
      </c>
      <c r="BD13" s="48">
        <f t="shared" si="3"/>
        <v>0</v>
      </c>
      <c r="BE13"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13" s="49" t="str">
        <f t="shared" si="4"/>
        <v>NO DATA</v>
      </c>
      <c r="BG13"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13" s="49"/>
      <c r="BI13"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13" s="47" t="str">
        <f t="shared" si="5"/>
        <v>NO DATA</v>
      </c>
      <c r="BK13"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13" s="72"/>
    </row>
    <row r="14" spans="1:64" ht="63.6" customHeight="1" x14ac:dyDescent="0.25">
      <c r="A14" s="93"/>
      <c r="B14" s="72"/>
      <c r="C14" s="72"/>
      <c r="D14" s="74"/>
      <c r="E14" s="73"/>
      <c r="F14" s="72"/>
      <c r="G14" s="73"/>
      <c r="H14" s="37" t="str">
        <f>IF(AND(Table134[[#This Row],[Page 1 Average Price]]=0,Table134[[#This Row],[Customer Favorite Price]]=0,Table134[[#This Row],[Customer Favorite Height]]=0),"NO DATA",IF(OR(Table134[[#This Row],[Page 1 Average Price]]&gt;=30,Table134[[#This Row],[Customer Favorite Price]]&gt;=30,),"YES","NO"))</f>
        <v>NO DATA</v>
      </c>
      <c r="I14" s="73"/>
      <c r="J14" s="73"/>
      <c r="K14" s="37" t="str">
        <f>IF(OR(Table134[[#This Row],[Page 1 Average Monthly Sales]]&gt;=300,Table134[[#This Row],[Customer Favorite Monthly Sales]]&gt;=300,),"YES","NO")</f>
        <v>NO</v>
      </c>
      <c r="L14" s="73"/>
      <c r="M14" s="73"/>
      <c r="N14" s="73"/>
      <c r="O14" s="72"/>
      <c r="P14" s="37" t="str">
        <f>IF(Table134[[#This Row],[Customer Favorite weight]]=0,"NO DATA", IF(Table134[[#This Row],[Customer Favorite weight]]&lt;=4.75,"YES", IF(Table134[[#This Row],[Customer Favorite weight]]&gt;=4.75,"NO")))</f>
        <v>NO DATA</v>
      </c>
      <c r="Q14" s="73"/>
      <c r="R14" s="73"/>
      <c r="S14" s="73"/>
      <c r="T14" s="7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14"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14" s="73"/>
      <c r="W14" s="73"/>
      <c r="X14" s="73"/>
      <c r="Y14" s="73"/>
      <c r="Z14" s="73"/>
      <c r="AA14" s="73"/>
      <c r="AB14" s="73"/>
      <c r="AC14" s="72"/>
      <c r="AD14" s="73"/>
      <c r="AE14" s="72"/>
      <c r="AF14" s="73"/>
      <c r="AG14" s="72"/>
      <c r="AH14" s="73"/>
      <c r="AI14" s="72"/>
      <c r="AJ14" s="73"/>
      <c r="AK14" s="72"/>
      <c r="AL14" s="76"/>
      <c r="AM14" s="72"/>
      <c r="AN14" s="72"/>
      <c r="AO14" s="40">
        <f>Table134[[#This Row],[Manufacturing Cost/unit ($)]]+Table134[[#This Row],[Shipping Fees ($)]]</f>
        <v>0</v>
      </c>
      <c r="AP14" s="86"/>
      <c r="AQ14" s="86"/>
      <c r="AR14" s="86"/>
      <c r="AS14" s="42" t="str">
        <f>'Fulfilment Fee List'!B13</f>
        <v>NO DATA</v>
      </c>
      <c r="AT14" s="40">
        <f>Table134[[#This Row],[Goal sell price]]*0.15</f>
        <v>0</v>
      </c>
      <c r="AU14" s="72"/>
      <c r="AV14" s="42">
        <f>Table134[[#This Row],[Potential Product Length]]*Table134[[#This Row],[Potential Product Width]]*Table134[[#This Row],[Potential Product Height]]/139</f>
        <v>0</v>
      </c>
      <c r="AW14" s="43">
        <f>MAX(Table134[[#This Row],[Item weight (lbs)]:[Dimensional weight (lbs)]])</f>
        <v>0</v>
      </c>
      <c r="AX14" s="44" t="str">
        <f>'Fulfilment Fee List'!H13</f>
        <v>NO DATA</v>
      </c>
      <c r="AY14" s="40" t="str">
        <f>IF(Table134[[#This Row],[Goal sell price]],Table134[[#This Row],[Goal sell price]]-Table134[[#This Row],[Estimate Landed Cost/unit ($)]]-Table134[[#This Row],[Referral fees ($)]]-Table134[[#This Row],[Fba Fulfilment Fee]],"NO DATA")</f>
        <v>NO DATA</v>
      </c>
      <c r="AZ14" s="45" t="str">
        <f>IF(Table134[[#This Row],[Goal sell price]],Table134[[#This Row],[Profit Per Unit]]/Table134[[#This Row],[Goal sell price]],"NO DATA")</f>
        <v>NO DATA</v>
      </c>
      <c r="BA14"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14" s="47">
        <f t="shared" si="1"/>
        <v>0</v>
      </c>
      <c r="BC14" s="47">
        <f t="shared" si="2"/>
        <v>0</v>
      </c>
      <c r="BD14" s="48">
        <f t="shared" si="3"/>
        <v>0</v>
      </c>
      <c r="BE14"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14" s="49" t="str">
        <f t="shared" si="4"/>
        <v>NO DATA</v>
      </c>
      <c r="BG14"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14" s="49"/>
      <c r="BI14"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14" s="47" t="str">
        <f t="shared" si="5"/>
        <v>NO DATA</v>
      </c>
      <c r="BK14"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14" s="72"/>
    </row>
    <row r="15" spans="1:64" ht="63.6" customHeight="1" x14ac:dyDescent="0.25">
      <c r="A15" s="57" t="s">
        <v>206</v>
      </c>
      <c r="B15" s="72"/>
      <c r="C15" s="72"/>
      <c r="D15" s="74"/>
      <c r="E15" s="73"/>
      <c r="F15" s="72"/>
      <c r="G15" s="73"/>
      <c r="H15" s="37" t="str">
        <f>IF(AND(Table134[[#This Row],[Page 1 Average Price]]=0,Table134[[#This Row],[Customer Favorite Price]]=0,Table134[[#This Row],[Customer Favorite Height]]=0),"NO DATA",IF(OR(Table134[[#This Row],[Page 1 Average Price]]&gt;=30,Table134[[#This Row],[Customer Favorite Price]]&gt;=30,),"YES","NO"))</f>
        <v>NO DATA</v>
      </c>
      <c r="I15" s="73"/>
      <c r="J15" s="73"/>
      <c r="K15" s="37" t="str">
        <f>IF(OR(Table134[[#This Row],[Page 1 Average Monthly Sales]]&gt;=300,Table134[[#This Row],[Customer Favorite Monthly Sales]]&gt;=300,),"YES","NO")</f>
        <v>NO</v>
      </c>
      <c r="L15" s="73"/>
      <c r="M15" s="73"/>
      <c r="N15" s="73"/>
      <c r="O15" s="72"/>
      <c r="P15" s="37" t="str">
        <f>IF(Table134[[#This Row],[Customer Favorite weight]]=0,"NO DATA", IF(Table134[[#This Row],[Customer Favorite weight]]&lt;=4.75,"YES", IF(Table134[[#This Row],[Customer Favorite weight]]&gt;=4.75,"NO")))</f>
        <v>NO DATA</v>
      </c>
      <c r="Q15" s="73"/>
      <c r="R15" s="73"/>
      <c r="S15" s="73"/>
      <c r="T15" s="3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15"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15" s="73"/>
      <c r="W15" s="73"/>
      <c r="X15" s="73"/>
      <c r="Y15" s="73"/>
      <c r="Z15" s="73"/>
      <c r="AA15" s="73"/>
      <c r="AB15" s="73"/>
      <c r="AC15" s="72"/>
      <c r="AD15" s="73"/>
      <c r="AE15" s="72"/>
      <c r="AF15" s="73"/>
      <c r="AG15" s="72"/>
      <c r="AH15" s="73"/>
      <c r="AI15" s="72"/>
      <c r="AJ15" s="73"/>
      <c r="AK15" s="72"/>
      <c r="AL15" s="76"/>
      <c r="AM15" s="72"/>
      <c r="AN15" s="72"/>
      <c r="AO15" s="40">
        <f>Table134[[#This Row],[Manufacturing Cost/unit ($)]]+Table134[[#This Row],[Shipping Fees ($)]]</f>
        <v>0</v>
      </c>
      <c r="AP15" s="86"/>
      <c r="AQ15" s="86"/>
      <c r="AR15" s="86"/>
      <c r="AS15" s="42" t="str">
        <f>'Fulfilment Fee List'!B14</f>
        <v>NO DATA</v>
      </c>
      <c r="AT15" s="40">
        <f>Table134[[#This Row],[Goal sell price]]*0.15</f>
        <v>0</v>
      </c>
      <c r="AU15" s="72"/>
      <c r="AV15" s="42">
        <f>Table134[[#This Row],[Potential Product Length]]*Table134[[#This Row],[Potential Product Width]]*Table134[[#This Row],[Potential Product Height]]/139</f>
        <v>0</v>
      </c>
      <c r="AW15" s="43">
        <f>MAX(Table134[[#This Row],[Item weight (lbs)]:[Dimensional weight (lbs)]])</f>
        <v>0</v>
      </c>
      <c r="AX15" s="44" t="str">
        <f>'Fulfilment Fee List'!H14</f>
        <v>NO DATA</v>
      </c>
      <c r="AY15" s="40" t="str">
        <f>IF(Table134[[#This Row],[Goal sell price]],Table134[[#This Row],[Goal sell price]]-Table134[[#This Row],[Estimate Landed Cost/unit ($)]]-Table134[[#This Row],[Referral fees ($)]]-Table134[[#This Row],[Fba Fulfilment Fee]],"NO DATA")</f>
        <v>NO DATA</v>
      </c>
      <c r="AZ15" s="45" t="str">
        <f>IF(Table134[[#This Row],[Goal sell price]],Table134[[#This Row],[Profit Per Unit]]/Table134[[#This Row],[Goal sell price]],"NO DATA")</f>
        <v>NO DATA</v>
      </c>
      <c r="BA15"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15" s="47">
        <f t="shared" si="1"/>
        <v>0</v>
      </c>
      <c r="BC15" s="47">
        <f t="shared" si="2"/>
        <v>0</v>
      </c>
      <c r="BD15" s="48">
        <f t="shared" si="3"/>
        <v>0</v>
      </c>
      <c r="BE15"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15" s="49" t="str">
        <f t="shared" si="4"/>
        <v>NO DATA</v>
      </c>
      <c r="BG15"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15" s="49"/>
      <c r="BI15"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15" s="47" t="str">
        <f t="shared" si="5"/>
        <v>NO DATA</v>
      </c>
      <c r="BK15"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15" s="72"/>
    </row>
    <row r="16" spans="1:64" ht="63.6" customHeight="1" x14ac:dyDescent="0.25">
      <c r="A16" s="94" t="s">
        <v>221</v>
      </c>
      <c r="B16" s="72"/>
      <c r="C16" s="72"/>
      <c r="D16" s="74"/>
      <c r="E16" s="73"/>
      <c r="F16" s="72"/>
      <c r="G16" s="73"/>
      <c r="H16" s="37" t="str">
        <f>IF(AND(Table134[[#This Row],[Page 1 Average Price]]=0,Table134[[#This Row],[Customer Favorite Price]]=0,Table134[[#This Row],[Customer Favorite Height]]=0),"NO DATA",IF(OR(Table134[[#This Row],[Page 1 Average Price]]&gt;=30,Table134[[#This Row],[Customer Favorite Price]]&gt;=30,),"YES","NO"))</f>
        <v>NO DATA</v>
      </c>
      <c r="I16" s="73"/>
      <c r="J16" s="73"/>
      <c r="K16" s="37" t="str">
        <f>IF(OR(Table134[[#This Row],[Page 1 Average Monthly Sales]]&gt;=300,Table134[[#This Row],[Customer Favorite Monthly Sales]]&gt;=300,),"YES","NO")</f>
        <v>NO</v>
      </c>
      <c r="L16" s="73"/>
      <c r="M16" s="73"/>
      <c r="N16" s="73"/>
      <c r="O16" s="72"/>
      <c r="P16" s="37" t="str">
        <f>IF(Table134[[#This Row],[Customer Favorite weight]]=0,"NO DATA", IF(Table134[[#This Row],[Customer Favorite weight]]&lt;=4.75,"YES", IF(Table134[[#This Row],[Customer Favorite weight]]&gt;=4.75,"NO")))</f>
        <v>NO DATA</v>
      </c>
      <c r="Q16" s="73"/>
      <c r="R16" s="73"/>
      <c r="S16" s="73"/>
      <c r="T16" s="7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16"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16" s="73"/>
      <c r="W16" s="73"/>
      <c r="X16" s="73"/>
      <c r="Y16" s="73"/>
      <c r="Z16" s="73"/>
      <c r="AA16" s="72"/>
      <c r="AB16" s="73"/>
      <c r="AC16" s="72"/>
      <c r="AD16" s="73"/>
      <c r="AE16" s="72"/>
      <c r="AF16" s="73"/>
      <c r="AG16" s="72"/>
      <c r="AH16" s="73"/>
      <c r="AI16" s="72"/>
      <c r="AJ16" s="73"/>
      <c r="AK16" s="72"/>
      <c r="AL16" s="76"/>
      <c r="AM16" s="72"/>
      <c r="AN16" s="72"/>
      <c r="AO16" s="40">
        <f>Table134[[#This Row],[Manufacturing Cost/unit ($)]]+Table134[[#This Row],[Shipping Fees ($)]]</f>
        <v>0</v>
      </c>
      <c r="AP16" s="64"/>
      <c r="AQ16" s="64"/>
      <c r="AR16" s="64"/>
      <c r="AS16" s="42" t="str">
        <f>'Fulfilment Fee List'!B15</f>
        <v>NO DATA</v>
      </c>
      <c r="AT16" s="40">
        <f>Table134[[#This Row],[Goal sell price]]*0.15</f>
        <v>0</v>
      </c>
      <c r="AU16" s="72"/>
      <c r="AV16" s="42">
        <f>Table134[[#This Row],[Potential Product Length]]*Table134[[#This Row],[Potential Product Width]]*Table134[[#This Row],[Potential Product Height]]/139</f>
        <v>0</v>
      </c>
      <c r="AW16" s="43">
        <f>MAX(Table134[[#This Row],[Item weight (lbs)]:[Dimensional weight (lbs)]])</f>
        <v>0</v>
      </c>
      <c r="AX16" s="44" t="str">
        <f>'Fulfilment Fee List'!H15</f>
        <v>NO DATA</v>
      </c>
      <c r="AY16" s="40" t="str">
        <f>IF(Table134[[#This Row],[Goal sell price]],Table134[[#This Row],[Goal sell price]]-Table134[[#This Row],[Estimate Landed Cost/unit ($)]]-Table134[[#This Row],[Referral fees ($)]]-Table134[[#This Row],[Fba Fulfilment Fee]],"NO DATA")</f>
        <v>NO DATA</v>
      </c>
      <c r="AZ16" s="45" t="str">
        <f>IF(Table134[[#This Row],[Goal sell price]],Table134[[#This Row],[Profit Per Unit]]/Table134[[#This Row],[Goal sell price]],"NO DATA")</f>
        <v>NO DATA</v>
      </c>
      <c r="BA16"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16" s="47">
        <f t="shared" si="1"/>
        <v>0</v>
      </c>
      <c r="BC16" s="47">
        <f t="shared" si="2"/>
        <v>0</v>
      </c>
      <c r="BD16" s="48">
        <f t="shared" si="3"/>
        <v>0</v>
      </c>
      <c r="BE16"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16" s="49" t="str">
        <f t="shared" si="4"/>
        <v>NO DATA</v>
      </c>
      <c r="BG16"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16" s="49"/>
      <c r="BI16"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16" s="47" t="str">
        <f t="shared" si="5"/>
        <v>NO DATA</v>
      </c>
      <c r="BK16"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16" s="72"/>
    </row>
    <row r="17" spans="1:64" ht="63.6" customHeight="1" x14ac:dyDescent="0.25">
      <c r="A17" s="94" t="s">
        <v>207</v>
      </c>
      <c r="B17" s="72"/>
      <c r="C17" s="72"/>
      <c r="D17" s="74"/>
      <c r="E17" s="73"/>
      <c r="F17" s="72"/>
      <c r="G17" s="73"/>
      <c r="H17" s="37" t="str">
        <f>IF(AND(Table134[[#This Row],[Page 1 Average Price]]=0,Table134[[#This Row],[Customer Favorite Price]]=0,Table134[[#This Row],[Customer Favorite Height]]=0),"NO DATA",IF(OR(Table134[[#This Row],[Page 1 Average Price]]&gt;=30,Table134[[#This Row],[Customer Favorite Price]]&gt;=30,),"YES","NO"))</f>
        <v>NO DATA</v>
      </c>
      <c r="I17" s="73"/>
      <c r="J17" s="73"/>
      <c r="K17" s="37" t="str">
        <f>IF(OR(Table134[[#This Row],[Page 1 Average Monthly Sales]]&gt;=300,Table134[[#This Row],[Customer Favorite Monthly Sales]]&gt;=300,),"YES","NO")</f>
        <v>NO</v>
      </c>
      <c r="L17" s="73"/>
      <c r="M17" s="73"/>
      <c r="N17" s="73"/>
      <c r="O17" s="72"/>
      <c r="P17" s="37" t="str">
        <f>IF(Table134[[#This Row],[Customer Favorite weight]]=0,"NO DATA", IF(Table134[[#This Row],[Customer Favorite weight]]&lt;=4.75,"YES", IF(Table134[[#This Row],[Customer Favorite weight]]&gt;=4.75,"NO")))</f>
        <v>NO DATA</v>
      </c>
      <c r="Q17" s="73"/>
      <c r="R17" s="73"/>
      <c r="S17" s="73"/>
      <c r="T17" s="3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17"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17" s="73"/>
      <c r="W17" s="73"/>
      <c r="X17" s="73"/>
      <c r="Y17" s="73"/>
      <c r="Z17" s="73"/>
      <c r="AA17" s="73"/>
      <c r="AB17" s="73"/>
      <c r="AC17" s="72"/>
      <c r="AD17" s="73"/>
      <c r="AE17" s="72"/>
      <c r="AF17" s="73"/>
      <c r="AG17" s="72"/>
      <c r="AH17" s="73"/>
      <c r="AI17" s="72"/>
      <c r="AJ17" s="73"/>
      <c r="AK17" s="72"/>
      <c r="AL17" s="76"/>
      <c r="AM17" s="72"/>
      <c r="AN17" s="72"/>
      <c r="AO17" s="40">
        <f>Table134[[#This Row],[Manufacturing Cost/unit ($)]]+Table134[[#This Row],[Shipping Fees ($)]]</f>
        <v>0</v>
      </c>
      <c r="AP17" s="86"/>
      <c r="AQ17" s="86"/>
      <c r="AR17" s="86"/>
      <c r="AS17" s="42" t="str">
        <f>'Fulfilment Fee List'!B16</f>
        <v>NO DATA</v>
      </c>
      <c r="AT17" s="40">
        <f>Table134[[#This Row],[Goal sell price]]*0.15</f>
        <v>0</v>
      </c>
      <c r="AU17" s="72"/>
      <c r="AV17" s="42">
        <f>Table134[[#This Row],[Potential Product Length]]*Table134[[#This Row],[Potential Product Width]]*Table134[[#This Row],[Potential Product Height]]/139</f>
        <v>0</v>
      </c>
      <c r="AW17" s="43">
        <f>MAX(Table134[[#This Row],[Item weight (lbs)]:[Dimensional weight (lbs)]])</f>
        <v>0</v>
      </c>
      <c r="AX17" s="44" t="str">
        <f>'Fulfilment Fee List'!H16</f>
        <v>NO DATA</v>
      </c>
      <c r="AY17" s="40" t="str">
        <f>IF(Table134[[#This Row],[Goal sell price]],Table134[[#This Row],[Goal sell price]]-Table134[[#This Row],[Estimate Landed Cost/unit ($)]]-Table134[[#This Row],[Referral fees ($)]]-Table134[[#This Row],[Fba Fulfilment Fee]],"NO DATA")</f>
        <v>NO DATA</v>
      </c>
      <c r="AZ17" s="45" t="str">
        <f>IF(Table134[[#This Row],[Goal sell price]],Table134[[#This Row],[Profit Per Unit]]/Table134[[#This Row],[Goal sell price]],"NO DATA")</f>
        <v>NO DATA</v>
      </c>
      <c r="BA17"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17" s="47">
        <f t="shared" si="1"/>
        <v>0</v>
      </c>
      <c r="BC17" s="47">
        <f t="shared" si="2"/>
        <v>0</v>
      </c>
      <c r="BD17" s="48">
        <f t="shared" si="3"/>
        <v>0</v>
      </c>
      <c r="BE17"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17" s="49" t="str">
        <f t="shared" si="4"/>
        <v>NO DATA</v>
      </c>
      <c r="BG17"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17" s="49"/>
      <c r="BI17"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17" s="47" t="str">
        <f t="shared" si="5"/>
        <v>NO DATA</v>
      </c>
      <c r="BK17"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17" s="72"/>
    </row>
    <row r="18" spans="1:64" ht="63.6" customHeight="1" x14ac:dyDescent="0.25">
      <c r="A18" s="94" t="s">
        <v>208</v>
      </c>
      <c r="B18" s="32"/>
      <c r="C18" s="32"/>
      <c r="D18" s="33"/>
      <c r="E18" s="12"/>
      <c r="F18" s="34"/>
      <c r="G18" s="12"/>
      <c r="H18" s="37" t="str">
        <f>IF(AND(Table134[[#This Row],[Page 1 Average Price]]=0,Table134[[#This Row],[Customer Favorite Price]]=0,Table134[[#This Row],[Customer Favorite Height]]=0),"NO DATA",IF(OR(Table134[[#This Row],[Page 1 Average Price]]&gt;=30,Table134[[#This Row],[Customer Favorite Price]]&gt;=30,),"YES","NO"))</f>
        <v>NO DATA</v>
      </c>
      <c r="I18" s="12"/>
      <c r="J18" s="12"/>
      <c r="K18" s="37" t="str">
        <f>IF(OR(Table134[[#This Row],[Page 1 Average Monthly Sales]]&gt;=300,Table134[[#This Row],[Customer Favorite Monthly Sales]]&gt;=300,),"YES","NO")</f>
        <v>NO</v>
      </c>
      <c r="L18" s="12"/>
      <c r="M18" s="12"/>
      <c r="N18" s="12"/>
      <c r="O18" s="32"/>
      <c r="P18" s="37" t="str">
        <f>IF(Table134[[#This Row],[Customer Favorite weight]]=0,"NO DATA", IF(Table134[[#This Row],[Customer Favorite weight]]&lt;=4.75,"YES", IF(Table134[[#This Row],[Customer Favorite weight]]&gt;=4.75,"NO")))</f>
        <v>NO DATA</v>
      </c>
      <c r="Q18" s="12"/>
      <c r="R18" s="12"/>
      <c r="S18" s="12"/>
      <c r="T18" s="7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18"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18" s="12"/>
      <c r="W18" s="12"/>
      <c r="X18" s="12"/>
      <c r="Y18" s="12"/>
      <c r="Z18" s="12"/>
      <c r="AA18" s="32"/>
      <c r="AB18" s="12"/>
      <c r="AC18" s="32"/>
      <c r="AD18" s="12"/>
      <c r="AE18" s="32"/>
      <c r="AF18" s="12"/>
      <c r="AG18" s="32"/>
      <c r="AH18" s="12"/>
      <c r="AI18" s="32"/>
      <c r="AJ18" s="12"/>
      <c r="AK18" s="32"/>
      <c r="AL18" s="34"/>
      <c r="AM18" s="34"/>
      <c r="AN18" s="34"/>
      <c r="AO18" s="40">
        <f>Table134[[#This Row],[Manufacturing Cost/unit ($)]]+Table134[[#This Row],[Shipping Fees ($)]]</f>
        <v>0</v>
      </c>
      <c r="AP18" s="36"/>
      <c r="AQ18" s="36"/>
      <c r="AR18" s="36"/>
      <c r="AS18" s="42" t="str">
        <f>'Fulfilment Fee List'!B17</f>
        <v>NO DATA</v>
      </c>
      <c r="AT18" s="40">
        <f>Table134[[#This Row],[Goal sell price]]*0.15</f>
        <v>0</v>
      </c>
      <c r="AU18" s="32"/>
      <c r="AV18" s="42">
        <f>Table134[[#This Row],[Potential Product Length]]*Table134[[#This Row],[Potential Product Width]]*Table134[[#This Row],[Potential Product Height]]/139</f>
        <v>0</v>
      </c>
      <c r="AW18" s="43">
        <f>MAX(Table134[[#This Row],[Item weight (lbs)]:[Dimensional weight (lbs)]])</f>
        <v>0</v>
      </c>
      <c r="AX18" s="44" t="str">
        <f>'Fulfilment Fee List'!H17</f>
        <v>NO DATA</v>
      </c>
      <c r="AY18" s="40" t="str">
        <f>IF(Table134[[#This Row],[Goal sell price]],Table134[[#This Row],[Goal sell price]]-Table134[[#This Row],[Estimate Landed Cost/unit ($)]]-Table134[[#This Row],[Referral fees ($)]]-Table134[[#This Row],[Fba Fulfilment Fee]],"NO DATA")</f>
        <v>NO DATA</v>
      </c>
      <c r="AZ18" s="45" t="str">
        <f>IF(Table134[[#This Row],[Goal sell price]],Table134[[#This Row],[Profit Per Unit]]/Table134[[#This Row],[Goal sell price]],"NO DATA")</f>
        <v>NO DATA</v>
      </c>
      <c r="BA18"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18" s="47">
        <f t="shared" si="1"/>
        <v>0</v>
      </c>
      <c r="BC18" s="47">
        <f t="shared" si="2"/>
        <v>0</v>
      </c>
      <c r="BD18" s="48">
        <f t="shared" si="3"/>
        <v>0</v>
      </c>
      <c r="BE18"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18" s="49" t="str">
        <f t="shared" si="4"/>
        <v>NO DATA</v>
      </c>
      <c r="BG18"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18" s="49"/>
      <c r="BI18"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18" s="47" t="str">
        <f t="shared" si="5"/>
        <v>NO DATA</v>
      </c>
      <c r="BK18"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18" s="32"/>
    </row>
    <row r="19" spans="1:64" ht="63.6" customHeight="1" x14ac:dyDescent="0.25">
      <c r="A19" s="96" t="s">
        <v>209</v>
      </c>
      <c r="B19" s="32"/>
      <c r="C19" s="32"/>
      <c r="D19" s="33"/>
      <c r="E19" s="12"/>
      <c r="F19" s="34"/>
      <c r="G19" s="12"/>
      <c r="H19" s="37" t="str">
        <f>IF(AND(Table134[[#This Row],[Page 1 Average Price]]=0,Table134[[#This Row],[Customer Favorite Price]]=0,Table134[[#This Row],[Customer Favorite Height]]=0),"NO DATA",IF(OR(Table134[[#This Row],[Page 1 Average Price]]&gt;=30,Table134[[#This Row],[Customer Favorite Price]]&gt;=30,),"YES","NO"))</f>
        <v>NO DATA</v>
      </c>
      <c r="I19" s="12"/>
      <c r="J19" s="12"/>
      <c r="K19" s="37" t="str">
        <f>IF(OR(Table134[[#This Row],[Page 1 Average Monthly Sales]]&gt;=300,Table134[[#This Row],[Customer Favorite Monthly Sales]]&gt;=300,),"YES","NO")</f>
        <v>NO</v>
      </c>
      <c r="L19" s="12"/>
      <c r="M19" s="12"/>
      <c r="N19" s="12"/>
      <c r="O19" s="32"/>
      <c r="P19" s="37" t="str">
        <f>IF(Table134[[#This Row],[Customer Favorite weight]]=0,"NO DATA", IF(Table134[[#This Row],[Customer Favorite weight]]&lt;=4.75,"YES", IF(Table134[[#This Row],[Customer Favorite weight]]&gt;=4.75,"NO")))</f>
        <v>NO DATA</v>
      </c>
      <c r="Q19" s="12"/>
      <c r="R19" s="12"/>
      <c r="S19" s="12"/>
      <c r="T19" s="3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19"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19" s="12"/>
      <c r="W19" s="12"/>
      <c r="X19" s="12"/>
      <c r="Y19" s="12"/>
      <c r="Z19" s="12"/>
      <c r="AA19" s="12"/>
      <c r="AB19" s="12"/>
      <c r="AC19" s="32"/>
      <c r="AD19" s="12"/>
      <c r="AE19" s="32"/>
      <c r="AF19" s="12"/>
      <c r="AG19" s="32"/>
      <c r="AH19" s="12"/>
      <c r="AI19" s="32"/>
      <c r="AJ19" s="12"/>
      <c r="AK19" s="32"/>
      <c r="AL19" s="34"/>
      <c r="AM19" s="34"/>
      <c r="AN19" s="34"/>
      <c r="AO19" s="40">
        <f>Table134[[#This Row],[Manufacturing Cost/unit ($)]]+Table134[[#This Row],[Shipping Fees ($)]]</f>
        <v>0</v>
      </c>
      <c r="AP19" s="35"/>
      <c r="AQ19" s="35"/>
      <c r="AR19" s="35"/>
      <c r="AS19" s="42" t="str">
        <f>'Fulfilment Fee List'!B18</f>
        <v>NO DATA</v>
      </c>
      <c r="AT19" s="40">
        <f>Table134[[#This Row],[Goal sell price]]*0.15</f>
        <v>0</v>
      </c>
      <c r="AU19" s="32"/>
      <c r="AV19" s="42">
        <f>Table134[[#This Row],[Potential Product Length]]*Table134[[#This Row],[Potential Product Width]]*Table134[[#This Row],[Potential Product Height]]/139</f>
        <v>0</v>
      </c>
      <c r="AW19" s="43">
        <f>MAX(Table134[[#This Row],[Item weight (lbs)]:[Dimensional weight (lbs)]])</f>
        <v>0</v>
      </c>
      <c r="AX19" s="44" t="str">
        <f>'Fulfilment Fee List'!H18</f>
        <v>NO DATA</v>
      </c>
      <c r="AY19" s="40" t="str">
        <f>IF(Table134[[#This Row],[Goal sell price]],Table134[[#This Row],[Goal sell price]]-Table134[[#This Row],[Estimate Landed Cost/unit ($)]]-Table134[[#This Row],[Referral fees ($)]]-Table134[[#This Row],[Fba Fulfilment Fee]],"NO DATA")</f>
        <v>NO DATA</v>
      </c>
      <c r="AZ19" s="45" t="str">
        <f>IF(Table134[[#This Row],[Goal sell price]],Table134[[#This Row],[Profit Per Unit]]/Table134[[#This Row],[Goal sell price]],"NO DATA")</f>
        <v>NO DATA</v>
      </c>
      <c r="BA19"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19" s="47">
        <f t="shared" si="1"/>
        <v>0</v>
      </c>
      <c r="BC19" s="47">
        <f t="shared" si="2"/>
        <v>0</v>
      </c>
      <c r="BD19" s="48">
        <f t="shared" si="3"/>
        <v>0</v>
      </c>
      <c r="BE19"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19" s="49" t="str">
        <f t="shared" si="4"/>
        <v>NO DATA</v>
      </c>
      <c r="BG19"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19" s="49"/>
      <c r="BI19"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19" s="47" t="str">
        <f t="shared" si="5"/>
        <v>NO DATA</v>
      </c>
      <c r="BK19"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19" s="32"/>
    </row>
    <row r="20" spans="1:64" ht="63.6" customHeight="1" x14ac:dyDescent="0.25">
      <c r="A20" s="93"/>
      <c r="B20" s="32"/>
      <c r="C20" s="32"/>
      <c r="D20" s="33"/>
      <c r="E20" s="12"/>
      <c r="F20" s="34"/>
      <c r="G20" s="12"/>
      <c r="H20" s="37" t="str">
        <f>IF(AND(Table134[[#This Row],[Page 1 Average Price]]=0,Table134[[#This Row],[Customer Favorite Price]]=0,Table134[[#This Row],[Customer Favorite Height]]=0),"NO DATA",IF(OR(Table134[[#This Row],[Page 1 Average Price]]&gt;=30,Table134[[#This Row],[Customer Favorite Price]]&gt;=30,),"YES","NO"))</f>
        <v>NO DATA</v>
      </c>
      <c r="I20" s="12"/>
      <c r="J20" s="12"/>
      <c r="K20" s="37" t="str">
        <f>IF(OR(Table134[[#This Row],[Page 1 Average Monthly Sales]]&gt;=300,Table134[[#This Row],[Customer Favorite Monthly Sales]]&gt;=300,),"YES","NO")</f>
        <v>NO</v>
      </c>
      <c r="L20" s="12"/>
      <c r="M20" s="12"/>
      <c r="N20" s="12"/>
      <c r="O20" s="32"/>
      <c r="P20" s="37" t="str">
        <f>IF(Table134[[#This Row],[Customer Favorite weight]]=0,"NO DATA", IF(Table134[[#This Row],[Customer Favorite weight]]&lt;=4.75,"YES", IF(Table134[[#This Row],[Customer Favorite weight]]&gt;=4.75,"NO")))</f>
        <v>NO DATA</v>
      </c>
      <c r="Q20" s="12"/>
      <c r="R20" s="12"/>
      <c r="S20" s="12"/>
      <c r="T20" s="7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20"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20" s="12"/>
      <c r="W20" s="12"/>
      <c r="X20" s="12"/>
      <c r="Y20" s="12"/>
      <c r="Z20" s="12"/>
      <c r="AA20" s="12"/>
      <c r="AB20" s="12"/>
      <c r="AC20" s="32"/>
      <c r="AD20" s="12"/>
      <c r="AE20" s="32"/>
      <c r="AF20" s="12"/>
      <c r="AG20" s="32"/>
      <c r="AH20" s="12"/>
      <c r="AI20" s="32"/>
      <c r="AJ20" s="12"/>
      <c r="AK20" s="32"/>
      <c r="AL20" s="34"/>
      <c r="AM20" s="34"/>
      <c r="AN20" s="34"/>
      <c r="AO20" s="40">
        <f>Table134[[#This Row],[Manufacturing Cost/unit ($)]]+Table134[[#This Row],[Shipping Fees ($)]]</f>
        <v>0</v>
      </c>
      <c r="AP20" s="35"/>
      <c r="AQ20" s="35"/>
      <c r="AR20" s="35"/>
      <c r="AS20" s="42" t="str">
        <f>'Fulfilment Fee List'!B19</f>
        <v>NO DATA</v>
      </c>
      <c r="AT20" s="40">
        <f>Table134[[#This Row],[Goal sell price]]*0.15</f>
        <v>0</v>
      </c>
      <c r="AU20" s="32"/>
      <c r="AV20" s="42">
        <f>Table134[[#This Row],[Potential Product Length]]*Table134[[#This Row],[Potential Product Width]]*Table134[[#This Row],[Potential Product Height]]/139</f>
        <v>0</v>
      </c>
      <c r="AW20" s="43">
        <f>MAX(Table134[[#This Row],[Item weight (lbs)]:[Dimensional weight (lbs)]])</f>
        <v>0</v>
      </c>
      <c r="AX20" s="44" t="str">
        <f>'Fulfilment Fee List'!H19</f>
        <v>NO DATA</v>
      </c>
      <c r="AY20" s="40" t="str">
        <f>IF(Table134[[#This Row],[Goal sell price]],Table134[[#This Row],[Goal sell price]]-Table134[[#This Row],[Estimate Landed Cost/unit ($)]]-Table134[[#This Row],[Referral fees ($)]]-Table134[[#This Row],[Fba Fulfilment Fee]],"NO DATA")</f>
        <v>NO DATA</v>
      </c>
      <c r="AZ20" s="45" t="str">
        <f>IF(Table134[[#This Row],[Goal sell price]],Table134[[#This Row],[Profit Per Unit]]/Table134[[#This Row],[Goal sell price]],"NO DATA")</f>
        <v>NO DATA</v>
      </c>
      <c r="BA20"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20" s="47">
        <f t="shared" si="1"/>
        <v>0</v>
      </c>
      <c r="BC20" s="47">
        <f t="shared" si="2"/>
        <v>0</v>
      </c>
      <c r="BD20" s="48">
        <f t="shared" si="3"/>
        <v>0</v>
      </c>
      <c r="BE20"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20" s="49" t="str">
        <f t="shared" si="4"/>
        <v>NO DATA</v>
      </c>
      <c r="BG20"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20" s="49"/>
      <c r="BI20"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20" s="47" t="str">
        <f t="shared" si="5"/>
        <v>NO DATA</v>
      </c>
      <c r="BK20"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20" s="32"/>
    </row>
    <row r="21" spans="1:64" ht="63.6" customHeight="1" x14ac:dyDescent="0.25">
      <c r="A21" s="57" t="s">
        <v>210</v>
      </c>
      <c r="B21" s="32"/>
      <c r="C21" s="32"/>
      <c r="D21" s="33"/>
      <c r="E21" s="12"/>
      <c r="F21" s="34"/>
      <c r="G21" s="12"/>
      <c r="H21" s="37" t="str">
        <f>IF(AND(Table134[[#This Row],[Page 1 Average Price]]=0,Table134[[#This Row],[Customer Favorite Price]]=0,Table134[[#This Row],[Customer Favorite Height]]=0),"NO DATA",IF(OR(Table134[[#This Row],[Page 1 Average Price]]&gt;=30,Table134[[#This Row],[Customer Favorite Price]]&gt;=30,),"YES","NO"))</f>
        <v>NO DATA</v>
      </c>
      <c r="I21" s="12"/>
      <c r="J21" s="12"/>
      <c r="K21" s="37" t="str">
        <f>IF(OR(Table134[[#This Row],[Page 1 Average Monthly Sales]]&gt;=300,Table134[[#This Row],[Customer Favorite Monthly Sales]]&gt;=300,),"YES","NO")</f>
        <v>NO</v>
      </c>
      <c r="L21" s="12"/>
      <c r="M21" s="12"/>
      <c r="N21" s="12"/>
      <c r="O21" s="32"/>
      <c r="P21" s="37" t="str">
        <f>IF(Table134[[#This Row],[Customer Favorite weight]]=0,"NO DATA", IF(Table134[[#This Row],[Customer Favorite weight]]&lt;=4.75,"YES", IF(Table134[[#This Row],[Customer Favorite weight]]&gt;=4.75,"NO")))</f>
        <v>NO DATA</v>
      </c>
      <c r="Q21" s="12"/>
      <c r="R21" s="12"/>
      <c r="S21" s="12"/>
      <c r="T21" s="3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21"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21" s="12"/>
      <c r="W21" s="12"/>
      <c r="X21" s="12"/>
      <c r="Y21" s="12"/>
      <c r="Z21" s="12"/>
      <c r="AA21" s="32"/>
      <c r="AB21" s="12"/>
      <c r="AC21" s="32"/>
      <c r="AD21" s="12"/>
      <c r="AE21" s="32"/>
      <c r="AF21" s="12"/>
      <c r="AG21" s="32"/>
      <c r="AH21" s="12"/>
      <c r="AI21" s="32"/>
      <c r="AJ21" s="12"/>
      <c r="AK21" s="32"/>
      <c r="AL21" s="34"/>
      <c r="AM21" s="34"/>
      <c r="AN21" s="34"/>
      <c r="AO21" s="40">
        <f>Table134[[#This Row],[Manufacturing Cost/unit ($)]]+Table134[[#This Row],[Shipping Fees ($)]]</f>
        <v>0</v>
      </c>
      <c r="AP21" s="36"/>
      <c r="AQ21" s="36"/>
      <c r="AR21" s="36"/>
      <c r="AS21" s="42" t="str">
        <f>'Fulfilment Fee List'!B20</f>
        <v>NO DATA</v>
      </c>
      <c r="AT21" s="40">
        <f>Table134[[#This Row],[Goal sell price]]*0.15</f>
        <v>0</v>
      </c>
      <c r="AU21" s="32"/>
      <c r="AV21" s="42">
        <f>Table134[[#This Row],[Potential Product Length]]*Table134[[#This Row],[Potential Product Width]]*Table134[[#This Row],[Potential Product Height]]/139</f>
        <v>0</v>
      </c>
      <c r="AW21" s="43">
        <f>MAX(Table134[[#This Row],[Item weight (lbs)]:[Dimensional weight (lbs)]])</f>
        <v>0</v>
      </c>
      <c r="AX21" s="44" t="str">
        <f>'Fulfilment Fee List'!H20</f>
        <v>NO DATA</v>
      </c>
      <c r="AY21" s="40" t="str">
        <f>IF(Table134[[#This Row],[Goal sell price]],Table134[[#This Row],[Goal sell price]]-Table134[[#This Row],[Estimate Landed Cost/unit ($)]]-Table134[[#This Row],[Referral fees ($)]]-Table134[[#This Row],[Fba Fulfilment Fee]],"NO DATA")</f>
        <v>NO DATA</v>
      </c>
      <c r="AZ21" s="45" t="str">
        <f>IF(Table134[[#This Row],[Goal sell price]],Table134[[#This Row],[Profit Per Unit]]/Table134[[#This Row],[Goal sell price]],"NO DATA")</f>
        <v>NO DATA</v>
      </c>
      <c r="BA21"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21" s="47">
        <f t="shared" si="1"/>
        <v>0</v>
      </c>
      <c r="BC21" s="47">
        <f t="shared" si="2"/>
        <v>0</v>
      </c>
      <c r="BD21" s="48">
        <f t="shared" si="3"/>
        <v>0</v>
      </c>
      <c r="BE21"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21" s="49" t="str">
        <f t="shared" si="4"/>
        <v>NO DATA</v>
      </c>
      <c r="BG21"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21" s="49"/>
      <c r="BI21"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21" s="47" t="str">
        <f t="shared" si="5"/>
        <v>NO DATA</v>
      </c>
      <c r="BK21"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21" s="32"/>
    </row>
    <row r="22" spans="1:64" ht="63.6" customHeight="1" x14ac:dyDescent="0.25">
      <c r="A22" s="95" t="s">
        <v>211</v>
      </c>
      <c r="B22" s="32"/>
      <c r="C22" s="32"/>
      <c r="D22" s="33"/>
      <c r="E22" s="12"/>
      <c r="F22" s="34"/>
      <c r="G22" s="12"/>
      <c r="H22" s="37" t="str">
        <f>IF(AND(Table134[[#This Row],[Page 1 Average Price]]=0,Table134[[#This Row],[Customer Favorite Price]]=0,Table134[[#This Row],[Customer Favorite Height]]=0),"NO DATA",IF(OR(Table134[[#This Row],[Page 1 Average Price]]&gt;=30,Table134[[#This Row],[Customer Favorite Price]]&gt;=30,),"YES","NO"))</f>
        <v>NO DATA</v>
      </c>
      <c r="I22" s="12"/>
      <c r="J22" s="12"/>
      <c r="K22" s="37" t="str">
        <f>IF(OR(Table134[[#This Row],[Page 1 Average Monthly Sales]]&gt;=300,Table134[[#This Row],[Customer Favorite Monthly Sales]]&gt;=300,),"YES","NO")</f>
        <v>NO</v>
      </c>
      <c r="L22" s="12"/>
      <c r="M22" s="12"/>
      <c r="N22" s="12"/>
      <c r="O22" s="32"/>
      <c r="P22" s="37" t="str">
        <f>IF(Table134[[#This Row],[Customer Favorite weight]]=0,"NO DATA", IF(Table134[[#This Row],[Customer Favorite weight]]&lt;=4.75,"YES", IF(Table134[[#This Row],[Customer Favorite weight]]&gt;=4.75,"NO")))</f>
        <v>NO DATA</v>
      </c>
      <c r="Q22" s="12"/>
      <c r="R22" s="12"/>
      <c r="S22" s="12"/>
      <c r="T22" s="7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22"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22" s="12"/>
      <c r="W22" s="12"/>
      <c r="X22" s="12"/>
      <c r="Y22" s="12"/>
      <c r="Z22" s="12"/>
      <c r="AA22" s="12"/>
      <c r="AB22" s="12"/>
      <c r="AC22" s="32"/>
      <c r="AD22" s="12"/>
      <c r="AE22" s="32"/>
      <c r="AF22" s="12"/>
      <c r="AG22" s="32"/>
      <c r="AH22" s="12"/>
      <c r="AI22" s="32"/>
      <c r="AJ22" s="12"/>
      <c r="AK22" s="32"/>
      <c r="AL22" s="34"/>
      <c r="AM22" s="34"/>
      <c r="AN22" s="34"/>
      <c r="AO22" s="40">
        <f>Table134[[#This Row],[Manufacturing Cost/unit ($)]]+Table134[[#This Row],[Shipping Fees ($)]]</f>
        <v>0</v>
      </c>
      <c r="AP22" s="35"/>
      <c r="AQ22" s="35"/>
      <c r="AR22" s="35"/>
      <c r="AS22" s="42" t="str">
        <f>'Fulfilment Fee List'!B21</f>
        <v>NO DATA</v>
      </c>
      <c r="AT22" s="40">
        <f>Table134[[#This Row],[Goal sell price]]*0.15</f>
        <v>0</v>
      </c>
      <c r="AU22" s="32"/>
      <c r="AV22" s="42">
        <f>Table134[[#This Row],[Potential Product Length]]*Table134[[#This Row],[Potential Product Width]]*Table134[[#This Row],[Potential Product Height]]/139</f>
        <v>0</v>
      </c>
      <c r="AW22" s="43">
        <f>MAX(Table134[[#This Row],[Item weight (lbs)]:[Dimensional weight (lbs)]])</f>
        <v>0</v>
      </c>
      <c r="AX22" s="44" t="str">
        <f>'Fulfilment Fee List'!H21</f>
        <v>NO DATA</v>
      </c>
      <c r="AY22" s="40" t="str">
        <f>IF(Table134[[#This Row],[Goal sell price]],Table134[[#This Row],[Goal sell price]]-Table134[[#This Row],[Estimate Landed Cost/unit ($)]]-Table134[[#This Row],[Referral fees ($)]]-Table134[[#This Row],[Fba Fulfilment Fee]],"NO DATA")</f>
        <v>NO DATA</v>
      </c>
      <c r="AZ22" s="45" t="str">
        <f>IF(Table134[[#This Row],[Goal sell price]],Table134[[#This Row],[Profit Per Unit]]/Table134[[#This Row],[Goal sell price]],"NO DATA")</f>
        <v>NO DATA</v>
      </c>
      <c r="BA22"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22" s="47">
        <f t="shared" si="1"/>
        <v>0</v>
      </c>
      <c r="BC22" s="47">
        <f t="shared" si="2"/>
        <v>0</v>
      </c>
      <c r="BD22" s="48">
        <f t="shared" si="3"/>
        <v>0</v>
      </c>
      <c r="BE22"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22" s="49" t="str">
        <f t="shared" si="4"/>
        <v>NO DATA</v>
      </c>
      <c r="BG22"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22" s="49"/>
      <c r="BI22"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22" s="47" t="str">
        <f t="shared" si="5"/>
        <v>NO DATA</v>
      </c>
      <c r="BK22"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22" s="32"/>
    </row>
    <row r="23" spans="1:64" ht="63.6" customHeight="1" x14ac:dyDescent="0.25">
      <c r="A23" s="81"/>
      <c r="B23" s="32"/>
      <c r="C23" s="32"/>
      <c r="D23" s="33"/>
      <c r="E23" s="12"/>
      <c r="F23" s="34"/>
      <c r="G23" s="12"/>
      <c r="H23" s="37" t="str">
        <f>IF(AND(Table134[[#This Row],[Page 1 Average Price]]=0,Table134[[#This Row],[Customer Favorite Price]]=0,Table134[[#This Row],[Customer Favorite Height]]=0),"NO DATA",IF(OR(Table134[[#This Row],[Page 1 Average Price]]&gt;=30,Table134[[#This Row],[Customer Favorite Price]]&gt;=30,),"YES","NO"))</f>
        <v>NO DATA</v>
      </c>
      <c r="I23" s="12"/>
      <c r="J23" s="12"/>
      <c r="K23" s="37" t="str">
        <f>IF(OR(Table134[[#This Row],[Page 1 Average Monthly Sales]]&gt;=300,Table134[[#This Row],[Customer Favorite Monthly Sales]]&gt;=300,),"YES","NO")</f>
        <v>NO</v>
      </c>
      <c r="L23" s="12"/>
      <c r="M23" s="12"/>
      <c r="N23" s="12"/>
      <c r="O23" s="32"/>
      <c r="P23" s="37" t="str">
        <f>IF(Table134[[#This Row],[Customer Favorite weight]]=0,"NO DATA", IF(Table134[[#This Row],[Customer Favorite weight]]&lt;=4.75,"YES", IF(Table134[[#This Row],[Customer Favorite weight]]&gt;=4.75,"NO")))</f>
        <v>NO DATA</v>
      </c>
      <c r="Q23" s="12"/>
      <c r="R23" s="12"/>
      <c r="S23" s="12"/>
      <c r="T23" s="3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23"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23" s="12"/>
      <c r="W23" s="12"/>
      <c r="X23" s="12"/>
      <c r="Y23" s="12"/>
      <c r="Z23" s="12"/>
      <c r="AA23" s="12"/>
      <c r="AB23" s="12"/>
      <c r="AC23" s="32"/>
      <c r="AD23" s="12"/>
      <c r="AE23" s="32"/>
      <c r="AF23" s="12"/>
      <c r="AG23" s="32"/>
      <c r="AH23" s="12"/>
      <c r="AI23" s="32"/>
      <c r="AJ23" s="12"/>
      <c r="AK23" s="32"/>
      <c r="AL23" s="34"/>
      <c r="AM23" s="34"/>
      <c r="AN23" s="34"/>
      <c r="AO23" s="40">
        <f>Table134[[#This Row],[Manufacturing Cost/unit ($)]]+Table134[[#This Row],[Shipping Fees ($)]]</f>
        <v>0</v>
      </c>
      <c r="AP23" s="35"/>
      <c r="AQ23" s="35"/>
      <c r="AR23" s="35"/>
      <c r="AS23" s="42" t="str">
        <f>'Fulfilment Fee List'!B22</f>
        <v>NO DATA</v>
      </c>
      <c r="AT23" s="40">
        <f>Table134[[#This Row],[Goal sell price]]*0.15</f>
        <v>0</v>
      </c>
      <c r="AU23" s="32"/>
      <c r="AV23" s="42">
        <f>Table134[[#This Row],[Potential Product Length]]*Table134[[#This Row],[Potential Product Width]]*Table134[[#This Row],[Potential Product Height]]/139</f>
        <v>0</v>
      </c>
      <c r="AW23" s="43">
        <f>MAX(Table134[[#This Row],[Item weight (lbs)]:[Dimensional weight (lbs)]])</f>
        <v>0</v>
      </c>
      <c r="AX23" s="44" t="str">
        <f>'Fulfilment Fee List'!H22</f>
        <v>NO DATA</v>
      </c>
      <c r="AY23" s="40" t="str">
        <f>IF(Table134[[#This Row],[Goal sell price]],Table134[[#This Row],[Goal sell price]]-Table134[[#This Row],[Estimate Landed Cost/unit ($)]]-Table134[[#This Row],[Referral fees ($)]]-Table134[[#This Row],[Fba Fulfilment Fee]],"NO DATA")</f>
        <v>NO DATA</v>
      </c>
      <c r="AZ23" s="45" t="str">
        <f>IF(Table134[[#This Row],[Goal sell price]],Table134[[#This Row],[Profit Per Unit]]/Table134[[#This Row],[Goal sell price]],"NO DATA")</f>
        <v>NO DATA</v>
      </c>
      <c r="BA23"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23" s="47">
        <f t="shared" si="1"/>
        <v>0</v>
      </c>
      <c r="BC23" s="47">
        <f t="shared" si="2"/>
        <v>0</v>
      </c>
      <c r="BD23" s="48">
        <f t="shared" si="3"/>
        <v>0</v>
      </c>
      <c r="BE23"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23" s="49" t="str">
        <f t="shared" si="4"/>
        <v>NO DATA</v>
      </c>
      <c r="BG23"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23" s="49"/>
      <c r="BI23"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23" s="47" t="str">
        <f t="shared" si="5"/>
        <v>NO DATA</v>
      </c>
      <c r="BK23"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23" s="32"/>
    </row>
    <row r="24" spans="1:64" ht="63.6" customHeight="1" x14ac:dyDescent="0.25">
      <c r="A24" s="81"/>
      <c r="B24" s="32"/>
      <c r="C24" s="32"/>
      <c r="D24" s="33"/>
      <c r="E24" s="12"/>
      <c r="F24" s="34"/>
      <c r="G24" s="12"/>
      <c r="H24" s="37" t="str">
        <f>IF(AND(Table134[[#This Row],[Page 1 Average Price]]=0,Table134[[#This Row],[Customer Favorite Price]]=0,Table134[[#This Row],[Customer Favorite Height]]=0),"NO DATA",IF(OR(Table134[[#This Row],[Page 1 Average Price]]&gt;=30,Table134[[#This Row],[Customer Favorite Price]]&gt;=30,),"YES","NO"))</f>
        <v>NO DATA</v>
      </c>
      <c r="I24" s="12"/>
      <c r="J24" s="12"/>
      <c r="K24" s="37" t="str">
        <f>IF(OR(Table134[[#This Row],[Page 1 Average Monthly Sales]]&gt;=300,Table134[[#This Row],[Customer Favorite Monthly Sales]]&gt;=300,),"YES","NO")</f>
        <v>NO</v>
      </c>
      <c r="L24" s="12"/>
      <c r="M24" s="12"/>
      <c r="N24" s="12"/>
      <c r="O24" s="32"/>
      <c r="P24" s="37" t="str">
        <f>IF(Table134[[#This Row],[Customer Favorite weight]]=0,"NO DATA", IF(Table134[[#This Row],[Customer Favorite weight]]&lt;=4.75,"YES", IF(Table134[[#This Row],[Customer Favorite weight]]&gt;=4.75,"NO")))</f>
        <v>NO DATA</v>
      </c>
      <c r="Q24" s="12"/>
      <c r="R24" s="12"/>
      <c r="S24" s="12"/>
      <c r="T24" s="7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24"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24" s="12"/>
      <c r="W24" s="12"/>
      <c r="X24" s="12"/>
      <c r="Y24" s="12"/>
      <c r="Z24" s="12"/>
      <c r="AA24" s="32"/>
      <c r="AB24" s="12"/>
      <c r="AC24" s="32"/>
      <c r="AD24" s="12"/>
      <c r="AE24" s="32"/>
      <c r="AF24" s="12"/>
      <c r="AG24" s="32"/>
      <c r="AH24" s="12"/>
      <c r="AI24" s="32"/>
      <c r="AJ24" s="12"/>
      <c r="AK24" s="32"/>
      <c r="AL24" s="34"/>
      <c r="AM24" s="34"/>
      <c r="AN24" s="34"/>
      <c r="AO24" s="40">
        <f>Table134[[#This Row],[Manufacturing Cost/unit ($)]]+Table134[[#This Row],[Shipping Fees ($)]]</f>
        <v>0</v>
      </c>
      <c r="AP24" s="36"/>
      <c r="AQ24" s="36"/>
      <c r="AR24" s="36"/>
      <c r="AS24" s="42" t="str">
        <f>'Fulfilment Fee List'!B23</f>
        <v>NO DATA</v>
      </c>
      <c r="AT24" s="40">
        <f>Table134[[#This Row],[Goal sell price]]*0.15</f>
        <v>0</v>
      </c>
      <c r="AU24" s="32"/>
      <c r="AV24" s="42">
        <f>Table134[[#This Row],[Potential Product Length]]*Table134[[#This Row],[Potential Product Width]]*Table134[[#This Row],[Potential Product Height]]/139</f>
        <v>0</v>
      </c>
      <c r="AW24" s="43">
        <f>MAX(Table134[[#This Row],[Item weight (lbs)]:[Dimensional weight (lbs)]])</f>
        <v>0</v>
      </c>
      <c r="AX24" s="44" t="str">
        <f>'Fulfilment Fee List'!H23</f>
        <v>NO DATA</v>
      </c>
      <c r="AY24" s="40" t="str">
        <f>IF(Table134[[#This Row],[Goal sell price]],Table134[[#This Row],[Goal sell price]]-Table134[[#This Row],[Estimate Landed Cost/unit ($)]]-Table134[[#This Row],[Referral fees ($)]]-Table134[[#This Row],[Fba Fulfilment Fee]],"NO DATA")</f>
        <v>NO DATA</v>
      </c>
      <c r="AZ24" s="45" t="str">
        <f>IF(Table134[[#This Row],[Goal sell price]],Table134[[#This Row],[Profit Per Unit]]/Table134[[#This Row],[Goal sell price]],"NO DATA")</f>
        <v>NO DATA</v>
      </c>
      <c r="BA24"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24" s="47">
        <f t="shared" si="1"/>
        <v>0</v>
      </c>
      <c r="BC24" s="47">
        <f t="shared" si="2"/>
        <v>0</v>
      </c>
      <c r="BD24" s="48">
        <f t="shared" si="3"/>
        <v>0</v>
      </c>
      <c r="BE24"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24" s="49" t="str">
        <f t="shared" si="4"/>
        <v>NO DATA</v>
      </c>
      <c r="BG24"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24" s="49"/>
      <c r="BI24"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24" s="47" t="str">
        <f t="shared" si="5"/>
        <v>NO DATA</v>
      </c>
      <c r="BK24"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c r="BL24" s="32"/>
    </row>
    <row r="25" spans="1:64" ht="63.6" customHeight="1" x14ac:dyDescent="0.25">
      <c r="A25" s="81"/>
      <c r="D25" s="11"/>
      <c r="E25" s="10"/>
      <c r="F25" s="13"/>
      <c r="G25" s="10"/>
      <c r="H25" s="37" t="str">
        <f>IF(AND(Table134[[#This Row],[Page 1 Average Price]]=0,Table134[[#This Row],[Customer Favorite Price]]=0,Table134[[#This Row],[Customer Favorite Height]]=0),"NO DATA",IF(OR(Table134[[#This Row],[Page 1 Average Price]]&gt;=30,Table134[[#This Row],[Customer Favorite Price]]&gt;=30,),"YES","NO"))</f>
        <v>NO DATA</v>
      </c>
      <c r="I25" s="10"/>
      <c r="J25" s="10"/>
      <c r="K25" s="37" t="str">
        <f>IF(OR(Table134[[#This Row],[Page 1 Average Monthly Sales]]&gt;=300,Table134[[#This Row],[Customer Favorite Monthly Sales]]&gt;=300,),"YES","NO")</f>
        <v>NO</v>
      </c>
      <c r="L25" s="10"/>
      <c r="M25" s="10"/>
      <c r="N25" s="10"/>
      <c r="P25" s="37" t="str">
        <f>IF(Table134[[#This Row],[Customer Favorite weight]]=0,"NO DATA", IF(Table134[[#This Row],[Customer Favorite weight]]&lt;=4.75,"YES", IF(Table134[[#This Row],[Customer Favorite weight]]&gt;=4.75,"NO")))</f>
        <v>NO DATA</v>
      </c>
      <c r="Q25" s="10"/>
      <c r="R25" s="10"/>
      <c r="S25" s="10"/>
      <c r="T25" s="31" t="str">
        <f>IF(AND(Table134[[#This Row],[Customer Favorite Length]]=0,Table134[[#This Row],[Customer Favorite Width]]=0,Table134[[#This Row],[Customer Favorite Height]]=0),"NO DATA",IF(AND(Table134[[#This Row],[Customer Favorite Length]]&lt;=18,Table134[[#This Row],[Customer Favorite Width]]&lt;=14,Table134[[#This Row],[Customer Favorite Height]]&lt;=8),"YES"))</f>
        <v>NO DATA</v>
      </c>
      <c r="U25" s="31" t="str">
        <f>IF(AND(Table134[[#This Row],[Customer Favorite Length]]=0,Table134[[#This Row],[Customer Favorite Width]]=0,Table134[[#This Row],[Customer Favorite Height]]=0),"NO DATA",
IF(AND(Table134[[#This Row],[Customer Favorite Length]]&lt;=0.375,Table134[[#This Row],[Customer Favorite Width]]&lt;=15,Table134[[#This Row],[Customer Favorite Height]]&lt;=12),"Small Standard-Size",
IF(AND(Table134[[#This Row],[Customer Favorite Length]]&lt;=20,Table134[[#This Row],[Customer Favorite Width]]&lt;=18,Table134[[#This Row],[Customer Favorite Height]]&lt;=14),"Large Standard Size",
IF(AND(Table134[[#This Row],[Customer Favorite Length]]&lt;=70,Table134[[#This Row],[Customer Favorite Width]]&lt;=60,Table134[[#This Row],[Customer Favorite Height]]&lt;=30,),"Small Oversize",
IF(AND(Table134[[#This Row],[Customer Favorite Length]]&lt;=150,Table134[[#This Row],[Customer Favorite Width]]&lt;=108,(2*Table134[[#This Row],[Customer Favorite Length]]+2*Table134[[#This Row],[Customer Favorite Width]])&lt;=130),"Medium Oversize",
IF(AND(Table134[[#This Row],[Customer Favorite Length]]&lt;=150,Table134[[#This Row],[Customer Favorite Width]]&lt;=108,(2*Table134[[#This Row],[Customer Favorite Length]]+2*Table134[[#This Row],[Customer Favorite Width]])&lt;=165),"Large Oversize",
IF(AND(Table134[[#This Row],[Customer Favorite Length]]&gt;=150,Table134[[#This Row],[Customer Favorite Width]]&gt;=108,(2*Table134[[#This Row],[Customer Favorite Length]]+2*Table134[[#This Row],[Customer Favorite Width]])&gt;=165),"Special Oversize",
"No Data")))))))</f>
        <v>NO DATA</v>
      </c>
      <c r="V25" s="10"/>
      <c r="W25" s="10"/>
      <c r="X25" s="10"/>
      <c r="Y25" s="10"/>
      <c r="Z25" s="10"/>
      <c r="AA25" s="10"/>
      <c r="AB25" s="10"/>
      <c r="AD25" s="10"/>
      <c r="AF25" s="10"/>
      <c r="AH25" s="10"/>
      <c r="AJ25" s="10"/>
      <c r="AL25" s="13"/>
      <c r="AM25" s="13"/>
      <c r="AN25" s="13"/>
      <c r="AO25" s="40">
        <f>Table134[[#This Row],[Manufacturing Cost/unit ($)]]+Table134[[#This Row],[Shipping Fees ($)]]</f>
        <v>0</v>
      </c>
      <c r="AP25" s="29"/>
      <c r="AQ25" s="29"/>
      <c r="AR25" s="29"/>
      <c r="AS25" s="42" t="str">
        <f>'Fulfilment Fee List'!B24</f>
        <v>NO DATA</v>
      </c>
      <c r="AT25" s="40">
        <f>Table134[[#This Row],[Goal sell price]]*0.15</f>
        <v>0</v>
      </c>
      <c r="AV25" s="42">
        <f>Table134[[#This Row],[Potential Product Length]]*Table134[[#This Row],[Potential Product Width]]*Table134[[#This Row],[Potential Product Height]]/139</f>
        <v>0</v>
      </c>
      <c r="AW25" s="43">
        <f>MAX(Table134[[#This Row],[Item weight (lbs)]:[Dimensional weight (lbs)]])</f>
        <v>0</v>
      </c>
      <c r="AX25" s="44" t="str">
        <f>'Fulfilment Fee List'!H24</f>
        <v>NO DATA</v>
      </c>
      <c r="AY25" s="40" t="str">
        <f>IF(Table134[[#This Row],[Goal sell price]],Table134[[#This Row],[Goal sell price]]-Table134[[#This Row],[Estimate Landed Cost/unit ($)]]-Table134[[#This Row],[Referral fees ($)]]-Table134[[#This Row],[Fba Fulfilment Fee]],"NO DATA")</f>
        <v>NO DATA</v>
      </c>
      <c r="AZ25" s="45" t="str">
        <f>IF(Table134[[#This Row],[Goal sell price]],Table134[[#This Row],[Profit Per Unit]]/Table134[[#This Row],[Goal sell price]],"NO DATA")</f>
        <v>NO DATA</v>
      </c>
      <c r="BA25" s="46" t="str">
        <f>IF(Table134[[#This Row],[PROFIT MARGIN]]="NO DATA","NO DATA",
IF(Table134[[#This Row],[PROFIT MARGIN]]&lt;25%,"BAD",
IF(AND(Table134[[#This Row],[PROFIT MARGIN]]&gt;=25%,Table134[[#This Row],[PROFIT MARGIN]]&lt;30%),"5/10 - DECENT",
IF(AND(Table134[[#This Row],[PROFIT MARGIN]]&gt;=30%,Table134[[#This Row],[PROFIT MARGIN]]&lt;35%),"6/10 - DECENT",
IF(AND(Table134[[#This Row],[PROFIT MARGIN]]&gt;=35%,Table134[[#This Row],[PROFIT MARGIN]]&lt;40%),"7/10 - GREAT",
IF(AND(Table134[[#This Row],[PROFIT MARGIN]]&gt;=40%,Table134[[#This Row],[PROFIT MARGIN]]&lt;45%),"8/10 - GREAT",
IF(AND(Table134[[#This Row],[PROFIT MARGIN]]&gt;=45%,Table134[[#This Row],[PROFIT MARGIN]]&lt;50%),"9/10 - SUPERB",
IF(Table134[[#This Row],[PROFIT MARGIN]]&gt;50%,"10/10 - SUPERB",))))))))</f>
        <v>NO DATA</v>
      </c>
      <c r="BB25" s="47">
        <f t="shared" si="1"/>
        <v>0</v>
      </c>
      <c r="BC25" s="47">
        <f t="shared" si="2"/>
        <v>0</v>
      </c>
      <c r="BD25" s="48">
        <f t="shared" si="3"/>
        <v>0</v>
      </c>
      <c r="BE25" s="48" t="str">
        <f>IF(Table134[[#This Row],[PROFIT SCORE]]="NO DATA","NO DATA",
IF(Table134[[#This Row],[PROFIT SCORE]]="BAD",4,
IF(Table134[[#This Row],[PROFIT SCORE]]="5/10 - DECENT",5,
IF(Table134[[#This Row],[PROFIT SCORE]]="6/10 - DECENT",6,
IF(Table134[[#This Row],[PROFIT SCORE]]="7/10 - GREAT",7,
IF(Table134[[#This Row],[PROFIT SCORE]]="8/10 - GREAT",8,
IF(Table134[[#This Row],[PROFIT SCORE]]="9/10 - SUPERB",9,
IF(Table134[[#This Row],[PROFIT SCORE]]="10/10 - SUPERB",10))))))))</f>
        <v>NO DATA</v>
      </c>
      <c r="BF25" s="49" t="str">
        <f t="shared" si="4"/>
        <v>NO DATA</v>
      </c>
      <c r="BG25" s="97" t="str">
        <f>IF(Table134[[#This Row],[MARKET SCORE]]="NO DATA","NO DATA",
IF(Table134[[#This Row],[MARKET SCORE]]="1/10 - BAD",1,
IF(Table134[[#This Row],[MARKET SCORE]]="2/10 - BAD",2,
IF(Table134[[#This Row],[MARKET SCORE]]="3/10 - BAD",3,
IF(Table134[[#This Row],[MARKET SCORE]]="4/10 - BAD",4,
IF(Table134[[#This Row],[MARKET SCORE]]="5/10 - DECENT",5,
IF(Table134[[#This Row],[MARKET SCORE]]="6/10 - DECENT",6,
IF(Table134[[#This Row],[MARKET SCORE]]="7/10 - GREAT",7,
IF(Table134[[#This Row],[MARKET SCORE]]="8/10 - GREAT",8,
IF(Table134[[#This Row],[MARKET SCORE]]="9/10 - SUPERB",9,
IF(Table134[[#This Row],[MARKET SCORE]]="10/10 - SUPERB",10)))))))))))</f>
        <v>NO DATA</v>
      </c>
      <c r="BH25" s="49"/>
      <c r="BI25" s="97" t="b">
        <f>IF(Table134[[#This Row],[DEVELOPMENT SCORE]]="NO DATA","NO DATA",
IF(Table134[[#This Row],[DEVELOPMENT SCORE]]="1/10 - BAD",1,
IF(Table134[[#This Row],[DEVELOPMENT SCORE]]="2/10 - BAD",2,
IF(Table134[[#This Row],[DEVELOPMENT SCORE]]="3/10 - BAD",3,
IF(Table134[[#This Row],[DEVELOPMENT SCORE]]="4/10 - BAD",4,
IF(Table134[[#This Row],[DEVELOPMENT SCORE]]="5/10 - DECENT",5,
IF(Table134[[#This Row],[DEVELOPMENT SCORE]]="6/10 - DECENT",6,
IF(Table134[[#This Row],[DEVELOPMENT SCORE]]="7/10 - GREAT",7,
IF(Table134[[#This Row],[DEVELOPMENT SCORE]]="8/10 - GREAT",8,
IF(Table134[[#This Row],[DEVELOPMENT SCORE]]="9/10 - SUPERB",9,
IF(Table134[[#This Row],[DEVELOPMENT SCORE]]="10/10 - SUPERB",10)))))))))))</f>
        <v>0</v>
      </c>
      <c r="BJ25" s="47" t="str">
        <f t="shared" si="5"/>
        <v>NO DATA</v>
      </c>
      <c r="BK25" s="48" t="str">
        <f>IF(AND(Table134[[#This Row],[WEIGHTED SCORE BACKEND]]="NO DATA"),"NO DATA",
IF(AND(Table134[[#This Row],[WEIGHTED SCORE BACKEND]]&gt;1,Table134[[#This Row],[WEIGHTED SCORE BACKEND]]&lt;2),"1/10 - BAD",
IF(AND(Table134[[#This Row],[WEIGHTED SCORE BACKEND]]&gt;2,Table134[[#This Row],[WEIGHTED SCORE BACKEND]]&lt;3),"2/10 - BAD",
IF(AND(Table134[[#This Row],[WEIGHTED SCORE BACKEND]]&gt;3,Table134[[#This Row],[WEIGHTED SCORE BACKEND]]&lt;4),"3/10 - BAD",
IF(AND(Table134[[#This Row],[WEIGHTED SCORE BACKEND]]&gt;4,Table134[[#This Row],[WEIGHTED SCORE BACKEND]]&lt;5),"4/10 - BAD",
IF(AND(Table134[[#This Row],[WEIGHTED SCORE BACKEND]]&gt;5,Table134[[#This Row],[WEIGHTED SCORE BACKEND]]&lt;6),"5/10 - DECENT",
IF(AND(Table134[[#This Row],[WEIGHTED SCORE BACKEND]]&gt;6,Table134[[#This Row],[WEIGHTED SCORE BACKEND]]&lt;7),"6/10 - DECENT",
IF(AND(Table134[[#This Row],[WEIGHTED SCORE BACKEND]]&gt;7,Table134[[#This Row],[WEIGHTED SCORE BACKEND]]&lt;8),"7/10 - GREAT",
IF(AND(Table134[[#This Row],[WEIGHTED SCORE BACKEND]]&gt;8,Table134[[#This Row],[WEIGHTED SCORE BACKEND]]&lt;9),"8/10 - GREAT",
IF(AND(Table134[[#This Row],[WEIGHTED SCORE BACKEND]]&gt;9,Table134[[#This Row],[WEIGHTED SCORE BACKEND]]&lt;10),"9/10 - SUPERB",
IF(AND(Table134[[#This Row],[WEIGHTED SCORE BACKEND]]&gt;=10),"10/10 - SUPERB")))))))))))</f>
        <v>NO DATA</v>
      </c>
    </row>
  </sheetData>
  <phoneticPr fontId="13" type="noConversion"/>
  <dataValidations xWindow="2985" yWindow="1229" count="2">
    <dataValidation type="list" allowBlank="1" showInputMessage="1" showErrorMessage="1" promptTitle="Click the arrow on the right" prompt="Choose 'YES' or 'NO'" sqref="V3:Z25 N3:N25" xr:uid="{F01B1612-9554-419C-96CD-BD50E9A17672}">
      <formula1>"YES,NO"</formula1>
    </dataValidation>
    <dataValidation type="list" allowBlank="1" showInputMessage="1" errorTitle="Error" error="Select a score from the dropdown menu." sqref="BH3:BH25" xr:uid="{1458493D-A70C-42B4-AF63-112900866AB0}">
      <formula1>"1/10 - BAD, 2/10 - BAD, 3/10 - BAD, 4/10 - BAD, 5/10 - DECENT, 6/10 - DECENT, 7/10 - GREAT, 8/10 - GREAT, 9/10 - SUPERB, 10/10 - SUPERB"</formula1>
    </dataValidation>
  </dataValidations>
  <hyperlinks>
    <hyperlink ref="A4" r:id="rId1" location="product-research" display="https://www.officialdanrodgers.com/services#product-research" xr:uid="{02DDDE7B-268D-4637-AEAC-8849F0AE3A1E}"/>
    <hyperlink ref="A10" location="'Fulfilment Fee List'!A1" display="CLICK HERE TO VIEW THE FULFILMENT FEE LIST 🔗" xr:uid="{1104661D-65E6-48A1-BC92-3A9FD96473E7}"/>
    <hyperlink ref="A22" r:id="rId2" display="Report bugs/errors to bugs@officialdanrodgers.com" xr:uid="{DA3BE366-6CD2-4925-AB96-18FFC1ED1E90}"/>
    <hyperlink ref="A13" r:id="rId3" xr:uid="{5CF99333-E2EE-4E46-A2FF-CF5F8A52A8F1}"/>
    <hyperlink ref="C12" r:id="rId4" xr:uid="{33E58289-808A-4AD4-AEE3-0F3135CDB8C7}"/>
    <hyperlink ref="AK12" r:id="rId5" display="https://www.alibaba.com/product-detail/Manufacturers-produce-customized-Unlock-Door-Open_1600291859713.html?spm=a2700.galleryofferlist.normal_offer.d_title.2a902d65icW20O" xr:uid="{1F801638-5278-4C35-B5B2-790D3F861417}"/>
    <hyperlink ref="AK4" r:id="rId6" xr:uid="{22E933A2-5D77-4220-A065-E5DA84EE4CAE}"/>
    <hyperlink ref="D4" r:id="rId7" xr:uid="{F3F8C5B1-288A-42CF-966C-1FE18D262F48}"/>
    <hyperlink ref="AK5" r:id="rId8" xr:uid="{DBAA2090-F575-4E28-ADD9-3C75FB76F019}"/>
    <hyperlink ref="D5" r:id="rId9" xr:uid="{C93134DD-FD2C-474D-890A-049D9B424E58}"/>
    <hyperlink ref="C4" r:id="rId10" xr:uid="{43E45942-8829-4773-9EA2-D473F23A45C3}"/>
    <hyperlink ref="C5" r:id="rId11" xr:uid="{9CCB7888-31E8-4E39-B8AA-52AB9AF91155}"/>
    <hyperlink ref="AK10" r:id="rId12" xr:uid="{1F801638-5278-4C35-B5B2-790D3F861417}"/>
    <hyperlink ref="C10" r:id="rId13" xr:uid="{33E58289-808A-4AD4-AEE3-0F3135CDB8C7}"/>
    <hyperlink ref="AK9" r:id="rId14" xr:uid="{A474EAAA-EFAA-4522-9F6F-9577CC07B07C}"/>
    <hyperlink ref="C9" r:id="rId15" xr:uid="{C44D9D2F-2C23-4FAD-BFFF-AD683E30BF18}"/>
    <hyperlink ref="C8" r:id="rId16" xr:uid="{36029B0E-BBEA-497B-BD86-67B2C5909CCA}"/>
    <hyperlink ref="AK8" r:id="rId17" xr:uid="{5983FEE1-5F70-41D7-AEC5-F752A8AAD875}"/>
    <hyperlink ref="AK7" r:id="rId18" xr:uid="{4A671417-2FCE-47C2-B132-530E0543EC76}"/>
    <hyperlink ref="D7" r:id="rId19" xr:uid="{149C28CE-FE4F-48B9-BD91-57F2F990C316}"/>
    <hyperlink ref="C7" r:id="rId20" xr:uid="{51C86C8F-DEF6-4DEB-A4BF-0195494DBB4B}"/>
    <hyperlink ref="AK6" r:id="rId21" xr:uid="{B99F69A9-AC7A-4304-AC4E-0703F189FC39}"/>
    <hyperlink ref="D6" r:id="rId22" xr:uid="{AE812E3E-43C4-4877-8BC6-D7F7A1C20A1E}"/>
    <hyperlink ref="C6" r:id="rId23" xr:uid="{3A5EE5E3-EF3A-4022-B5DC-A12CDCBFF40E}"/>
    <hyperlink ref="AK3" r:id="rId24" xr:uid="{F798C0B4-622D-4BF5-8483-4DBFBA626468}"/>
    <hyperlink ref="C3" r:id="rId25" xr:uid="{D03F8488-B3E8-457C-8A94-CBC118407E6A}"/>
    <hyperlink ref="AX2" location="'Fulfilment Fee List'!A1" display="Click here to find your FBA fee category..." xr:uid="{093049B4-A07D-4285-9ED4-707393A33DC7}"/>
  </hyperlinks>
  <pageMargins left="0.7" right="0.7" top="0.75" bottom="0.75" header="0.3" footer="0.3"/>
  <pageSetup paperSize="9" orientation="portrait" horizontalDpi="4294967293" verticalDpi="0" r:id="rId26"/>
  <legacyDrawing r:id="rId27"/>
  <tableParts count="2">
    <tablePart r:id="rId28"/>
    <tablePart r:id="rId2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B46D-8D16-4302-AB6B-A05D8456AD53}">
  <sheetPr>
    <tabColor rgb="FF008080"/>
  </sheetPr>
  <dimension ref="A1:O65"/>
  <sheetViews>
    <sheetView showZeros="0" topLeftCell="A4" workbookViewId="0">
      <selection activeCell="H15" sqref="H15"/>
    </sheetView>
  </sheetViews>
  <sheetFormatPr defaultColWidth="19" defaultRowHeight="13.9" customHeight="1" x14ac:dyDescent="0.25"/>
  <cols>
    <col min="1" max="1" width="17.140625" customWidth="1"/>
    <col min="2" max="2" width="24" customWidth="1"/>
    <col min="3" max="3" width="15.140625" customWidth="1"/>
    <col min="4" max="4" width="17.42578125" customWidth="1"/>
    <col min="8" max="8" width="22.140625" customWidth="1"/>
    <col min="10" max="10" width="15.85546875" customWidth="1"/>
    <col min="12" max="12" width="17.5703125" customWidth="1"/>
    <col min="13" max="13" width="29" customWidth="1"/>
  </cols>
  <sheetData>
    <row r="1" spans="1:15" ht="13.9" customHeight="1" x14ac:dyDescent="0.25">
      <c r="A1" t="s">
        <v>126</v>
      </c>
      <c r="B1" t="s">
        <v>97</v>
      </c>
      <c r="C1" t="s">
        <v>98</v>
      </c>
      <c r="D1" t="s">
        <v>99</v>
      </c>
      <c r="E1" t="s">
        <v>100</v>
      </c>
      <c r="F1" t="s">
        <v>101</v>
      </c>
      <c r="G1" t="s">
        <v>131</v>
      </c>
      <c r="H1" t="s">
        <v>135</v>
      </c>
      <c r="I1" t="s">
        <v>97</v>
      </c>
      <c r="J1" t="s">
        <v>98</v>
      </c>
      <c r="K1" t="s">
        <v>99</v>
      </c>
      <c r="L1" t="s">
        <v>100</v>
      </c>
      <c r="M1" t="s">
        <v>101</v>
      </c>
      <c r="N1" t="s">
        <v>131</v>
      </c>
      <c r="O1" s="27"/>
    </row>
    <row r="2" spans="1:15" ht="13.9" customHeight="1" x14ac:dyDescent="0.25">
      <c r="A2" t="str">
        <f>'Cheat Sheet'!B3</f>
        <v>Zen Garden Kit</v>
      </c>
      <c r="B2" s="3" t="str">
        <f>IF(AND(C2=0,D2=0,E2=0,F2=0),"NO DATA",
IF(AND(C2&lt;=0.375,D2&lt;=15,E2&lt;=12,F2&lt;=0.75),"Small Standard-Size",
IF(AND(C2&lt;=20,D2&lt;=18,E2&lt;=14,F2&lt;=8),"Large Standard Size",
IF(AND(C2&lt;=70,D2&lt;=60,E2&lt;=30,G2&lt;=130),"Small Oversize",
IF(AND(C2&lt;=150,D2&lt;=108,G2&lt;=130),"Medium Oversize",
IF(AND(C2&lt;=150,D2&lt;=108,G2&lt;=165),"Large Oversize",
IF(AND(C2&gt;=150,D2&gt;=108,G2&gt;=165),"Special Oversize",
"No Data")))))))</f>
        <v>Large Standard Size</v>
      </c>
      <c r="C2" s="30">
        <f>'Cheat Sheet'!AW3</f>
        <v>1.5392361151079135</v>
      </c>
      <c r="D2" s="30">
        <f>'Cheat Sheet'!AP3</f>
        <v>9.85</v>
      </c>
      <c r="E2" s="30">
        <f>'Cheat Sheet'!AQ3</f>
        <v>7.87</v>
      </c>
      <c r="F2" s="30">
        <f>'Cheat Sheet'!AR3</f>
        <v>2.76</v>
      </c>
      <c r="G2" s="2">
        <f>2*Table7[[#This Row],[Longest side]]+2*Table7[[#This Row],[Median side]]</f>
        <v>35.44</v>
      </c>
      <c r="H2" s="5">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4.95</v>
      </c>
      <c r="I2" t="s">
        <v>102</v>
      </c>
      <c r="J2" t="s">
        <v>127</v>
      </c>
      <c r="K2" t="s">
        <v>103</v>
      </c>
      <c r="L2" t="s">
        <v>104</v>
      </c>
      <c r="M2" t="s">
        <v>105</v>
      </c>
      <c r="N2" t="s">
        <v>106</v>
      </c>
      <c r="O2" s="27"/>
    </row>
    <row r="3" spans="1:15" ht="13.9" customHeight="1" x14ac:dyDescent="0.25">
      <c r="A3" t="str">
        <f>'Cheat Sheet'!B4</f>
        <v>Tree of Life Wind Chimes</v>
      </c>
      <c r="B3" s="3" t="str">
        <f t="shared" ref="B3:B33" si="0">IF(AND(C3=0,D3=0,E3=0,F3=0),"NO DATA",
IF(AND(C3&lt;=0.375,D3&lt;=15,E3&lt;=12,F3&lt;=0.75),"Small Standard-Size",
IF(AND(C3&lt;=20,D3&lt;=18,E3&lt;=14,F3&lt;=8),"Large Standard Size",
IF(AND(C3&lt;=70,D3&lt;=60,E3&lt;=30,G3&lt;=130),"Small Oversize",
IF(AND(C3&lt;=150,D3&lt;=108,G3&lt;=130),"Medium Oversize",
IF(AND(C3&lt;=150,D3&lt;=108,G3&lt;=165),"Large Oversize",
IF(AND(C3&gt;=150,D3&gt;=108,G3&gt;=165),"Special Oversize",
"No Data")))))))</f>
        <v>Large Standard Size</v>
      </c>
      <c r="C3">
        <f>'Cheat Sheet'!AW4</f>
        <v>1.0341726618705036</v>
      </c>
      <c r="D3" s="30">
        <f>'Cheat Sheet'!AP4</f>
        <v>11.5</v>
      </c>
      <c r="E3" s="30">
        <f>'Cheat Sheet'!AQ4</f>
        <v>5</v>
      </c>
      <c r="F3" s="30">
        <f>'Cheat Sheet'!AR4</f>
        <v>2.5</v>
      </c>
      <c r="G3" s="2">
        <f>2*Table7[[#This Row],[Longest side]]+2*Table7[[#This Row],[Median side]]</f>
        <v>33</v>
      </c>
      <c r="H3" s="5">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4.95</v>
      </c>
      <c r="I3" t="s">
        <v>107</v>
      </c>
      <c r="J3" t="s">
        <v>128</v>
      </c>
      <c r="K3" t="s">
        <v>108</v>
      </c>
      <c r="L3" t="s">
        <v>109</v>
      </c>
      <c r="M3" t="s">
        <v>110</v>
      </c>
      <c r="N3" t="s">
        <v>106</v>
      </c>
      <c r="O3" s="27"/>
    </row>
    <row r="4" spans="1:15" ht="13.9" customHeight="1" x14ac:dyDescent="0.25">
      <c r="A4" t="str">
        <f>'Cheat Sheet'!B5</f>
        <v>Sublimation Stainless Steel Tumblers 
(4 Pack)</v>
      </c>
      <c r="B4" s="3" t="str">
        <f>IF(AND(C4=0,D4=0,E4=0,F4=0),"NO DATA",
IF(AND(C4&lt;=0.375,D4&lt;=15,E4&lt;=12,F4&lt;=0.75),"Small Standard-Size",
IF(AND(C4&lt;=20,D4&lt;=18,E4&lt;=14,F4&lt;=8),"Large Standard Size",
IF(AND(C4&lt;=70,D4&lt;=60,E4&lt;=30,G4&lt;=130),"Small Oversize",
IF(AND(C4&lt;=150,D4&lt;=108,G4&lt;=130),"Medium Oversize",
IF(AND(C4&lt;=150,D4&lt;=108,G4&lt;=165),"Large Oversize",
IF(AND(C4&gt;=150,D4&gt;=108,G4&gt;=165),"Special Oversize",
"No Data")))))))</f>
        <v>Large Standard Size</v>
      </c>
      <c r="C4" s="30">
        <f>'Cheat Sheet'!AW5</f>
        <v>3.19</v>
      </c>
      <c r="D4" s="30">
        <f>'Cheat Sheet'!AP5</f>
        <v>13</v>
      </c>
      <c r="E4" s="30">
        <f>'Cheat Sheet'!AQ5</f>
        <v>9</v>
      </c>
      <c r="F4" s="30">
        <f>'Cheat Sheet'!AR5</f>
        <v>3.5</v>
      </c>
      <c r="G4" s="2">
        <f>2*Table7[[#This Row],[Longest side]]+2*Table7[[#This Row],[Median side]]</f>
        <v>44</v>
      </c>
      <c r="H4" s="5">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5.98</v>
      </c>
      <c r="I4" t="s">
        <v>111</v>
      </c>
      <c r="J4" t="s">
        <v>129</v>
      </c>
      <c r="K4" t="s">
        <v>112</v>
      </c>
      <c r="L4" t="s">
        <v>113</v>
      </c>
      <c r="M4" t="s">
        <v>106</v>
      </c>
      <c r="N4" t="s">
        <v>114</v>
      </c>
      <c r="O4" s="27"/>
    </row>
    <row r="5" spans="1:15" ht="13.9" customHeight="1" x14ac:dyDescent="0.25">
      <c r="A5" t="str">
        <f>'Cheat Sheet'!B6</f>
        <v>Bachelorette Party Fanny Packs</v>
      </c>
      <c r="B5" s="3" t="str">
        <f>IF(AND(C5=0,D5=0,E5=0,F5=0),"NO DATA",
IF(AND(C5&lt;=0.375,D5&lt;=15,E5&lt;=12,F5&lt;=0.75),"Small Standard-Size",
IF(AND(C5&lt;=20,D5&lt;=18,E5&lt;=14,F5&lt;=8),"Large Standard Size",
IF(AND(C5&lt;=70,D5&lt;=60,E5&lt;=30,G5&lt;=130),"Small Oversize",
IF(AND(C5&lt;=150,D5&lt;=108,G5&lt;=130),"Medium Oversize",
IF(AND(C5&lt;=150,D5&lt;=108,G5&lt;=165),"Large Oversize",
IF(AND(C5&gt;=150,D5&gt;=108,G5&gt;=165),"Special Oversize",
"NO DATA")))))))</f>
        <v>Large Standard Size</v>
      </c>
      <c r="C5">
        <f>'Cheat Sheet'!AW6</f>
        <v>1.96</v>
      </c>
      <c r="D5" s="30">
        <f>'Cheat Sheet'!AP6</f>
        <v>12.204700000000001</v>
      </c>
      <c r="E5" s="30">
        <f>'Cheat Sheet'!AQ6</f>
        <v>5.1181099999999997</v>
      </c>
      <c r="F5" s="30">
        <f>'Cheat Sheet'!AR6</f>
        <v>3.14961</v>
      </c>
      <c r="G5" s="2">
        <f>2*Table7[[#This Row],[Longest side]]+2*Table7[[#This Row],[Median side]]</f>
        <v>34.645620000000001</v>
      </c>
      <c r="H5" s="5">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4.95</v>
      </c>
      <c r="I5" t="s">
        <v>115</v>
      </c>
      <c r="J5" t="s">
        <v>130</v>
      </c>
      <c r="K5" t="s">
        <v>116</v>
      </c>
      <c r="L5" t="s">
        <v>106</v>
      </c>
      <c r="M5" t="s">
        <v>106</v>
      </c>
      <c r="N5" t="s">
        <v>114</v>
      </c>
      <c r="O5" s="27"/>
    </row>
    <row r="6" spans="1:15" ht="13.9" customHeight="1" x14ac:dyDescent="0.25">
      <c r="A6" t="str">
        <f>'Cheat Sheet'!B7</f>
        <v>Smart Weighted Hula Hoop for Adults</v>
      </c>
      <c r="B6" s="3" t="str">
        <f t="shared" si="0"/>
        <v>Large Standard Size</v>
      </c>
      <c r="C6" s="30">
        <f>'Cheat Sheet'!AW7</f>
        <v>3.8194585373266392</v>
      </c>
      <c r="D6" s="30">
        <f>'Cheat Sheet'!AP7</f>
        <v>11.811</v>
      </c>
      <c r="E6" s="30">
        <f>'Cheat Sheet'!AQ7</f>
        <v>11.417299999999999</v>
      </c>
      <c r="F6" s="30">
        <f>'Cheat Sheet'!AR7</f>
        <v>3.9370099999999999</v>
      </c>
      <c r="G6" s="2">
        <f>2*Table7[[#This Row],[Longest side]]+2*Table7[[#This Row],[Median side]]</f>
        <v>46.456599999999995</v>
      </c>
      <c r="H6" s="5">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5.98</v>
      </c>
      <c r="I6" t="s">
        <v>117</v>
      </c>
      <c r="J6" t="s">
        <v>130</v>
      </c>
      <c r="K6" t="s">
        <v>116</v>
      </c>
      <c r="L6" t="s">
        <v>106</v>
      </c>
      <c r="M6" t="s">
        <v>106</v>
      </c>
      <c r="N6" t="s">
        <v>118</v>
      </c>
      <c r="O6" s="27"/>
    </row>
    <row r="7" spans="1:15" ht="13.9" customHeight="1" x14ac:dyDescent="0.25">
      <c r="A7" t="str">
        <f>'Cheat Sheet'!B8</f>
        <v>Bamboo Ziplock Bag Storage Drawer</v>
      </c>
      <c r="B7" s="3" t="str">
        <f t="shared" si="0"/>
        <v>Large Standard Size</v>
      </c>
      <c r="C7">
        <f>'Cheat Sheet'!AW8</f>
        <v>3.1079136690647484</v>
      </c>
      <c r="D7" s="30">
        <f>'Cheat Sheet'!AP8</f>
        <v>12</v>
      </c>
      <c r="E7" s="30">
        <f>'Cheat Sheet'!AQ8</f>
        <v>12</v>
      </c>
      <c r="F7" s="30">
        <f>'Cheat Sheet'!AR8</f>
        <v>3</v>
      </c>
      <c r="G7" s="2">
        <f>2*Table7[[#This Row],[Longest side]]+2*Table7[[#This Row],[Median side]]</f>
        <v>48</v>
      </c>
      <c r="H7" s="5">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5.98</v>
      </c>
      <c r="I7" t="s">
        <v>119</v>
      </c>
      <c r="J7" t="s">
        <v>120</v>
      </c>
      <c r="K7" t="s">
        <v>121</v>
      </c>
      <c r="L7" t="s">
        <v>106</v>
      </c>
      <c r="M7" t="s">
        <v>106</v>
      </c>
      <c r="N7" t="s">
        <v>122</v>
      </c>
      <c r="O7" s="27"/>
    </row>
    <row r="8" spans="1:15" ht="13.9" customHeight="1" x14ac:dyDescent="0.25">
      <c r="A8" t="str">
        <f>'Cheat Sheet'!B9</f>
        <v>Eyelash Extension training Kit</v>
      </c>
      <c r="B8" s="3" t="str">
        <f t="shared" si="0"/>
        <v>Large Standard Size</v>
      </c>
      <c r="C8" s="30">
        <f>'Cheat Sheet'!AW9</f>
        <v>1.9841599999999999</v>
      </c>
      <c r="D8" s="30">
        <f>'Cheat Sheet'!AP9</f>
        <v>7.0866100000000003</v>
      </c>
      <c r="E8" s="30">
        <f>'Cheat Sheet'!AQ9</f>
        <v>5.9055099999999996</v>
      </c>
      <c r="F8" s="30">
        <f>'Cheat Sheet'!AR9</f>
        <v>2.7559100000000001</v>
      </c>
      <c r="G8" s="2">
        <f>2*Table7[[#This Row],[Longest side]]+2*Table7[[#This Row],[Median side]]</f>
        <v>25.98424</v>
      </c>
      <c r="H8" s="5">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4.95</v>
      </c>
      <c r="I8" s="27"/>
      <c r="J8" s="27"/>
      <c r="K8" s="27"/>
      <c r="L8" s="27"/>
      <c r="M8" s="27"/>
      <c r="N8" s="27"/>
      <c r="O8" s="27"/>
    </row>
    <row r="9" spans="1:15" ht="13.9" customHeight="1" x14ac:dyDescent="0.25">
      <c r="A9" t="str">
        <f>'Cheat Sheet'!B10</f>
        <v>Long Reach Car Tools Kit</v>
      </c>
      <c r="B9" s="3" t="str">
        <f t="shared" si="0"/>
        <v>Large Standard Size</v>
      </c>
      <c r="C9">
        <f>'Cheat Sheet'!AW10</f>
        <v>2.46</v>
      </c>
      <c r="D9" s="30">
        <f>'Cheat Sheet'!AP10</f>
        <v>18</v>
      </c>
      <c r="E9" s="30">
        <f>'Cheat Sheet'!AQ10</f>
        <v>6.2</v>
      </c>
      <c r="F9" s="30">
        <f>'Cheat Sheet'!AR10</f>
        <v>2.2999999999999998</v>
      </c>
      <c r="G9" s="2">
        <f>2*Table7[[#This Row],[Longest side]]+2*Table7[[#This Row],[Median side]]</f>
        <v>48.4</v>
      </c>
      <c r="H9" s="5">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5.68</v>
      </c>
      <c r="I9" s="27"/>
      <c r="J9" s="27"/>
      <c r="K9" s="27"/>
      <c r="L9" s="27"/>
      <c r="M9" s="27"/>
      <c r="N9" s="27"/>
      <c r="O9" s="27"/>
    </row>
    <row r="10" spans="1:15" ht="13.9" customHeight="1" x14ac:dyDescent="0.25">
      <c r="A10" t="str">
        <f>'Cheat Sheet'!B11</f>
        <v>Gold Magnetic Gift Box 5 Pack</v>
      </c>
      <c r="B10" s="3" t="str">
        <f t="shared" si="0"/>
        <v>Large Standard Size</v>
      </c>
      <c r="C10" s="30">
        <f>'Cheat Sheet'!AW11</f>
        <v>3.54</v>
      </c>
      <c r="D10" s="30">
        <f>'Cheat Sheet'!AP11</f>
        <v>16.57</v>
      </c>
      <c r="E10" s="30">
        <f>'Cheat Sheet'!AQ11</f>
        <v>9.57</v>
      </c>
      <c r="F10" s="30">
        <f>'Cheat Sheet'!AR11</f>
        <v>1.18</v>
      </c>
      <c r="G10" s="2">
        <f>2*Table7[[#This Row],[Longest side]]+2*Table7[[#This Row],[Median side]]</f>
        <v>52.28</v>
      </c>
      <c r="H10" s="5">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5.98</v>
      </c>
      <c r="I10" s="27"/>
      <c r="J10" s="27"/>
      <c r="K10" s="27"/>
      <c r="L10" s="27"/>
      <c r="M10" s="27"/>
      <c r="N10" s="27"/>
      <c r="O10" s="27"/>
    </row>
    <row r="11" spans="1:15" ht="13.9" customHeight="1" x14ac:dyDescent="0.25">
      <c r="A11" t="str">
        <f>'Cheat Sheet'!B12</f>
        <v>Guitar Tool Kit</v>
      </c>
      <c r="B11" s="3" t="str">
        <f t="shared" si="0"/>
        <v>Large Standard Size</v>
      </c>
      <c r="C11">
        <f>'Cheat Sheet'!AW12</f>
        <v>2.2000000000000002</v>
      </c>
      <c r="D11" s="30">
        <f>'Cheat Sheet'!AP12</f>
        <v>11.811</v>
      </c>
      <c r="E11" s="30">
        <f>'Cheat Sheet'!AQ12</f>
        <v>7.8740199999999998</v>
      </c>
      <c r="F11" s="30">
        <f>'Cheat Sheet'!AR12</f>
        <v>3.14961</v>
      </c>
      <c r="G11" s="2">
        <f>2*Table7[[#This Row],[Longest side]]+2*Table7[[#This Row],[Median side]]</f>
        <v>39.370040000000003</v>
      </c>
      <c r="H11" s="5">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5.68</v>
      </c>
      <c r="I11" s="27"/>
      <c r="J11" s="27"/>
      <c r="K11" s="27"/>
      <c r="L11" s="27"/>
      <c r="M11" s="27"/>
      <c r="N11" s="27"/>
      <c r="O11" s="27"/>
    </row>
    <row r="12" spans="1:15" ht="13.9" customHeight="1" x14ac:dyDescent="0.25">
      <c r="A12">
        <f>'Cheat Sheet'!B13</f>
        <v>0</v>
      </c>
      <c r="B12" s="3" t="str">
        <f t="shared" si="0"/>
        <v>NO DATA</v>
      </c>
      <c r="C12" s="30">
        <f>'Cheat Sheet'!AW13</f>
        <v>0</v>
      </c>
      <c r="D12" s="30">
        <f>'Cheat Sheet'!AP13</f>
        <v>0</v>
      </c>
      <c r="E12" s="30">
        <f>'Cheat Sheet'!AQ13</f>
        <v>0</v>
      </c>
      <c r="F12" s="30">
        <f>'Cheat Sheet'!AR13</f>
        <v>0</v>
      </c>
      <c r="G12" s="2">
        <f>2*Table7[[#This Row],[Longest side]]+2*Table7[[#This Row],[Median side]]</f>
        <v>0</v>
      </c>
      <c r="H12"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12" s="27"/>
      <c r="J12" t="s">
        <v>58</v>
      </c>
      <c r="K12" t="s">
        <v>59</v>
      </c>
      <c r="L12" t="s">
        <v>95</v>
      </c>
      <c r="M12" t="s">
        <v>60</v>
      </c>
      <c r="N12" s="27"/>
      <c r="O12" s="27"/>
    </row>
    <row r="13" spans="1:15" ht="13.9" customHeight="1" x14ac:dyDescent="0.25">
      <c r="A13">
        <f>'Cheat Sheet'!B14</f>
        <v>0</v>
      </c>
      <c r="B13" s="3" t="str">
        <f t="shared" si="0"/>
        <v>NO DATA</v>
      </c>
      <c r="C13">
        <f>'Cheat Sheet'!AW14</f>
        <v>0</v>
      </c>
      <c r="D13" s="30">
        <f>'Cheat Sheet'!AP14</f>
        <v>0</v>
      </c>
      <c r="E13" s="30">
        <f>'Cheat Sheet'!AQ14</f>
        <v>0</v>
      </c>
      <c r="F13" s="30">
        <f>'Cheat Sheet'!AR14</f>
        <v>0</v>
      </c>
      <c r="G13" s="2">
        <f>2*Table7[[#This Row],[Longest side]]+2*Table7[[#This Row],[Median side]]</f>
        <v>0</v>
      </c>
      <c r="H13"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13" s="27"/>
      <c r="J13" s="4" t="s">
        <v>134</v>
      </c>
      <c r="K13" t="s">
        <v>61</v>
      </c>
      <c r="L13" t="s">
        <v>92</v>
      </c>
      <c r="M13" t="s">
        <v>62</v>
      </c>
      <c r="N13" s="27"/>
      <c r="O13" s="27"/>
    </row>
    <row r="14" spans="1:15" ht="13.9" customHeight="1" x14ac:dyDescent="0.25">
      <c r="A14">
        <f>'Cheat Sheet'!B15</f>
        <v>0</v>
      </c>
      <c r="B14" s="3" t="str">
        <f t="shared" si="0"/>
        <v>NO DATA</v>
      </c>
      <c r="C14" s="30">
        <f>'Cheat Sheet'!AW15</f>
        <v>0</v>
      </c>
      <c r="D14" s="30">
        <f>'Cheat Sheet'!AP15</f>
        <v>0</v>
      </c>
      <c r="E14" s="30">
        <f>'Cheat Sheet'!AQ15</f>
        <v>0</v>
      </c>
      <c r="F14" s="30">
        <f>'Cheat Sheet'!AR15</f>
        <v>0</v>
      </c>
      <c r="G14" s="2">
        <f>2*Table7[[#This Row],[Longest side]]+2*Table7[[#This Row],[Median side]]</f>
        <v>0</v>
      </c>
      <c r="H14"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14" s="27"/>
      <c r="L14" t="s">
        <v>93</v>
      </c>
      <c r="M14" t="s">
        <v>63</v>
      </c>
      <c r="N14" s="27"/>
      <c r="O14" s="27"/>
    </row>
    <row r="15" spans="1:15" ht="13.9" customHeight="1" x14ac:dyDescent="0.25">
      <c r="A15">
        <f>'Cheat Sheet'!B16</f>
        <v>0</v>
      </c>
      <c r="B15" s="3" t="str">
        <f t="shared" si="0"/>
        <v>NO DATA</v>
      </c>
      <c r="C15">
        <f>'Cheat Sheet'!AW16</f>
        <v>0</v>
      </c>
      <c r="D15" s="30">
        <f>'Cheat Sheet'!AP16</f>
        <v>0</v>
      </c>
      <c r="E15" s="30">
        <f>'Cheat Sheet'!AQ16</f>
        <v>0</v>
      </c>
      <c r="F15" s="30">
        <f>'Cheat Sheet'!AR16</f>
        <v>0</v>
      </c>
      <c r="G15" s="2">
        <f>2*Table7[[#This Row],[Longest side]]+2*Table7[[#This Row],[Median side]]</f>
        <v>0</v>
      </c>
      <c r="H15"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15" s="27"/>
      <c r="L15" t="s">
        <v>94</v>
      </c>
      <c r="M15" t="s">
        <v>64</v>
      </c>
      <c r="N15" s="27"/>
      <c r="O15" s="27"/>
    </row>
    <row r="16" spans="1:15" ht="13.9" customHeight="1" x14ac:dyDescent="0.25">
      <c r="A16">
        <f>'Cheat Sheet'!B17</f>
        <v>0</v>
      </c>
      <c r="B16" s="3" t="str">
        <f t="shared" si="0"/>
        <v>NO DATA</v>
      </c>
      <c r="C16" s="30">
        <f>'Cheat Sheet'!AW17</f>
        <v>0</v>
      </c>
      <c r="D16" s="30">
        <f>'Cheat Sheet'!AP17</f>
        <v>0</v>
      </c>
      <c r="E16" s="30">
        <f>'Cheat Sheet'!AQ17</f>
        <v>0</v>
      </c>
      <c r="F16" s="30">
        <f>'Cheat Sheet'!AR17</f>
        <v>0</v>
      </c>
      <c r="G16" s="2">
        <f>2*Table7[[#This Row],[Longest side]]+2*Table7[[#This Row],[Median side]]</f>
        <v>0</v>
      </c>
      <c r="H16"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16" s="27"/>
      <c r="K16" t="s">
        <v>65</v>
      </c>
      <c r="L16" t="s">
        <v>92</v>
      </c>
      <c r="M16" t="s">
        <v>66</v>
      </c>
      <c r="N16" s="27"/>
      <c r="O16" s="27"/>
    </row>
    <row r="17" spans="1:15" ht="13.9" customHeight="1" x14ac:dyDescent="0.25">
      <c r="A17">
        <f>'Cheat Sheet'!B18</f>
        <v>0</v>
      </c>
      <c r="B17" s="3" t="str">
        <f t="shared" si="0"/>
        <v>NO DATA</v>
      </c>
      <c r="C17">
        <f>'Cheat Sheet'!AW18</f>
        <v>0</v>
      </c>
      <c r="D17" s="30">
        <f>'Cheat Sheet'!AP18</f>
        <v>0</v>
      </c>
      <c r="E17" s="30">
        <f>'Cheat Sheet'!AQ18</f>
        <v>0</v>
      </c>
      <c r="F17" s="30">
        <f>'Cheat Sheet'!AR18</f>
        <v>0</v>
      </c>
      <c r="G17" s="2">
        <f>2*Table7[[#This Row],[Longest side]]+2*Table7[[#This Row],[Median side]]</f>
        <v>0</v>
      </c>
      <c r="H17"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17" s="27"/>
      <c r="L17" t="s">
        <v>93</v>
      </c>
      <c r="M17" t="s">
        <v>67</v>
      </c>
      <c r="N17" s="27"/>
      <c r="O17" s="27"/>
    </row>
    <row r="18" spans="1:15" ht="13.9" customHeight="1" x14ac:dyDescent="0.25">
      <c r="A18">
        <f>'Cheat Sheet'!B19</f>
        <v>0</v>
      </c>
      <c r="B18" s="3" t="str">
        <f t="shared" si="0"/>
        <v>NO DATA</v>
      </c>
      <c r="C18" s="30">
        <f>'Cheat Sheet'!AW19</f>
        <v>0</v>
      </c>
      <c r="D18" s="30">
        <f>'Cheat Sheet'!AP19</f>
        <v>0</v>
      </c>
      <c r="E18" s="30">
        <f>'Cheat Sheet'!AQ19</f>
        <v>0</v>
      </c>
      <c r="F18" s="30">
        <f>'Cheat Sheet'!AR19</f>
        <v>0</v>
      </c>
      <c r="G18" s="2">
        <f>2*Table7[[#This Row],[Longest side]]+2*Table7[[#This Row],[Median side]]</f>
        <v>0</v>
      </c>
      <c r="H18"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18" s="27"/>
      <c r="L18" t="s">
        <v>94</v>
      </c>
      <c r="M18" t="s">
        <v>68</v>
      </c>
      <c r="N18" s="27"/>
      <c r="O18" s="27"/>
    </row>
    <row r="19" spans="1:15" ht="13.9" customHeight="1" x14ac:dyDescent="0.25">
      <c r="A19">
        <f>'Cheat Sheet'!B20</f>
        <v>0</v>
      </c>
      <c r="B19" s="3" t="str">
        <f t="shared" si="0"/>
        <v>NO DATA</v>
      </c>
      <c r="C19">
        <f>'Cheat Sheet'!AW20</f>
        <v>0</v>
      </c>
      <c r="D19" s="30">
        <f>'Cheat Sheet'!AP20</f>
        <v>0</v>
      </c>
      <c r="E19" s="30">
        <f>'Cheat Sheet'!AQ20</f>
        <v>0</v>
      </c>
      <c r="F19" s="30">
        <f>'Cheat Sheet'!AR20</f>
        <v>0</v>
      </c>
      <c r="G19" s="2">
        <f>2*Table7[[#This Row],[Longest side]]+2*Table7[[#This Row],[Median side]]</f>
        <v>0</v>
      </c>
      <c r="H19"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19" s="27"/>
      <c r="L19" t="s">
        <v>123</v>
      </c>
      <c r="M19" t="s">
        <v>69</v>
      </c>
      <c r="N19" s="27"/>
      <c r="O19" s="27"/>
    </row>
    <row r="20" spans="1:15" ht="13.9" customHeight="1" x14ac:dyDescent="0.25">
      <c r="A20">
        <f>'Cheat Sheet'!B21</f>
        <v>0</v>
      </c>
      <c r="B20" s="3" t="str">
        <f t="shared" si="0"/>
        <v>NO DATA</v>
      </c>
      <c r="C20" s="30">
        <f>'Cheat Sheet'!AW21</f>
        <v>0</v>
      </c>
      <c r="D20" s="30">
        <f>'Cheat Sheet'!AP21</f>
        <v>0</v>
      </c>
      <c r="E20" s="30">
        <f>'Cheat Sheet'!AQ21</f>
        <v>0</v>
      </c>
      <c r="F20" s="30">
        <f>'Cheat Sheet'!AR21</f>
        <v>0</v>
      </c>
      <c r="G20" s="2">
        <f>2*Table7[[#This Row],[Longest side]]+2*Table7[[#This Row],[Median side]]</f>
        <v>0</v>
      </c>
      <c r="H20"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20" s="27"/>
      <c r="L20" t="s">
        <v>124</v>
      </c>
      <c r="M20" t="s">
        <v>70</v>
      </c>
      <c r="N20" s="27"/>
      <c r="O20" s="27"/>
    </row>
    <row r="21" spans="1:15" ht="13.9" customHeight="1" x14ac:dyDescent="0.25">
      <c r="A21">
        <f>'Cheat Sheet'!B22</f>
        <v>0</v>
      </c>
      <c r="B21" s="3" t="str">
        <f t="shared" si="0"/>
        <v>NO DATA</v>
      </c>
      <c r="C21">
        <f>'Cheat Sheet'!AW22</f>
        <v>0</v>
      </c>
      <c r="D21" s="30">
        <f>'Cheat Sheet'!AP22</f>
        <v>0</v>
      </c>
      <c r="E21" s="30">
        <f>'Cheat Sheet'!AQ22</f>
        <v>0</v>
      </c>
      <c r="F21" s="30">
        <f>'Cheat Sheet'!AR22</f>
        <v>0</v>
      </c>
      <c r="G21" s="2">
        <f>2*Table7[[#This Row],[Longest side]]+2*Table7[[#This Row],[Median side]]</f>
        <v>0</v>
      </c>
      <c r="H21"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21" s="27"/>
      <c r="L21" t="s">
        <v>125</v>
      </c>
      <c r="M21" t="s">
        <v>71</v>
      </c>
      <c r="N21" s="27"/>
      <c r="O21" s="27"/>
    </row>
    <row r="22" spans="1:15" ht="13.9" customHeight="1" x14ac:dyDescent="0.25">
      <c r="A22">
        <f>'Cheat Sheet'!B23</f>
        <v>0</v>
      </c>
      <c r="B22" s="26" t="str">
        <f t="shared" si="0"/>
        <v>NO DATA</v>
      </c>
      <c r="C22" s="30">
        <f>'Cheat Sheet'!AW23</f>
        <v>0</v>
      </c>
      <c r="D22" s="30">
        <f>'Cheat Sheet'!AP23</f>
        <v>0</v>
      </c>
      <c r="E22" s="30">
        <f>'Cheat Sheet'!AQ23</f>
        <v>0</v>
      </c>
      <c r="F22" s="30">
        <f>'Cheat Sheet'!AR23</f>
        <v>0</v>
      </c>
      <c r="G22" s="2">
        <f>2*Table7[[#This Row],[Longest side]]+2*Table7[[#This Row],[Median side]]</f>
        <v>0</v>
      </c>
      <c r="H22"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22" s="27"/>
      <c r="J22" t="s">
        <v>72</v>
      </c>
      <c r="K22" t="s">
        <v>61</v>
      </c>
      <c r="L22" t="s">
        <v>92</v>
      </c>
      <c r="M22" t="s">
        <v>73</v>
      </c>
      <c r="N22" s="27"/>
      <c r="O22" s="27"/>
    </row>
    <row r="23" spans="1:15" ht="13.9" customHeight="1" x14ac:dyDescent="0.25">
      <c r="A23">
        <f>'Cheat Sheet'!B24</f>
        <v>0</v>
      </c>
      <c r="B23" s="26" t="str">
        <f t="shared" si="0"/>
        <v>NO DATA</v>
      </c>
      <c r="C23">
        <f>'Cheat Sheet'!AW24</f>
        <v>0</v>
      </c>
      <c r="D23" s="30">
        <f>'Cheat Sheet'!AP24</f>
        <v>0</v>
      </c>
      <c r="E23" s="30">
        <f>'Cheat Sheet'!AQ24</f>
        <v>0</v>
      </c>
      <c r="F23" s="30">
        <f>'Cheat Sheet'!AR24</f>
        <v>0</v>
      </c>
      <c r="G23" s="2">
        <f>2*Table7[[#This Row],[Longest side]]+2*Table7[[#This Row],[Median side]]</f>
        <v>0</v>
      </c>
      <c r="H23"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23" s="27"/>
      <c r="L23" t="s">
        <v>93</v>
      </c>
      <c r="M23" t="s">
        <v>74</v>
      </c>
      <c r="N23" s="27"/>
      <c r="O23" s="27"/>
    </row>
    <row r="24" spans="1:15" ht="13.9" customHeight="1" x14ac:dyDescent="0.25">
      <c r="A24">
        <f>'Cheat Sheet'!B25</f>
        <v>0</v>
      </c>
      <c r="B24" s="26" t="str">
        <f t="shared" si="0"/>
        <v>NO DATA</v>
      </c>
      <c r="C24" s="30">
        <f>'Cheat Sheet'!AW25</f>
        <v>0</v>
      </c>
      <c r="D24" s="30">
        <f>'Cheat Sheet'!AP25</f>
        <v>0</v>
      </c>
      <c r="E24" s="30">
        <f>'Cheat Sheet'!AQ25</f>
        <v>0</v>
      </c>
      <c r="F24" s="30">
        <f>'Cheat Sheet'!AR25</f>
        <v>0</v>
      </c>
      <c r="G24" s="2">
        <f>2*Table7[[#This Row],[Longest side]]+2*Table7[[#This Row],[Median side]]</f>
        <v>0</v>
      </c>
      <c r="H24"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24" s="27"/>
      <c r="L24" t="s">
        <v>94</v>
      </c>
      <c r="M24" t="s">
        <v>75</v>
      </c>
      <c r="N24" s="27"/>
      <c r="O24" s="27"/>
    </row>
    <row r="25" spans="1:15" ht="13.9" customHeight="1" x14ac:dyDescent="0.25">
      <c r="A25" t="e">
        <f>'Cheat Sheet'!#REF!</f>
        <v>#REF!</v>
      </c>
      <c r="B25" s="26" t="e">
        <f t="shared" si="0"/>
        <v>#REF!</v>
      </c>
      <c r="C25" t="e">
        <f>'Cheat Sheet'!#REF!</f>
        <v>#REF!</v>
      </c>
      <c r="D25" s="30" t="e">
        <f>'Cheat Sheet'!#REF!</f>
        <v>#REF!</v>
      </c>
      <c r="E25" s="30" t="e">
        <f>'Cheat Sheet'!#REF!</f>
        <v>#REF!</v>
      </c>
      <c r="F25" s="30" t="e">
        <f>'Cheat Sheet'!#REF!</f>
        <v>#REF!</v>
      </c>
      <c r="G25" s="2" t="e">
        <f>2*Table7[[#This Row],[Longest side]]+2*Table7[[#This Row],[Median side]]</f>
        <v>#REF!</v>
      </c>
      <c r="H25" s="5" t="e">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#REF!</v>
      </c>
      <c r="I25" s="27"/>
      <c r="K25" t="s">
        <v>65</v>
      </c>
      <c r="L25" t="s">
        <v>92</v>
      </c>
      <c r="M25" t="s">
        <v>76</v>
      </c>
      <c r="N25" s="27"/>
      <c r="O25" s="27"/>
    </row>
    <row r="26" spans="1:15" ht="13.9" customHeight="1" x14ac:dyDescent="0.25">
      <c r="A26">
        <f>'Cheat Sheet'!B26</f>
        <v>0</v>
      </c>
      <c r="B26" s="26" t="str">
        <f t="shared" si="0"/>
        <v>NO DATA</v>
      </c>
      <c r="C26" s="30">
        <f>'Cheat Sheet'!AW26</f>
        <v>0</v>
      </c>
      <c r="D26" s="30">
        <f>'Cheat Sheet'!AP26</f>
        <v>0</v>
      </c>
      <c r="E26" s="30">
        <f>'Cheat Sheet'!AQ26</f>
        <v>0</v>
      </c>
      <c r="F26" s="30">
        <f>'Cheat Sheet'!AR26</f>
        <v>0</v>
      </c>
      <c r="G26" s="2">
        <f>2*Table7[[#This Row],[Longest side]]+2*Table7[[#This Row],[Median side]]</f>
        <v>0</v>
      </c>
      <c r="H26"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26" s="27"/>
      <c r="L26" t="s">
        <v>93</v>
      </c>
      <c r="M26" t="s">
        <v>77</v>
      </c>
      <c r="N26" s="27"/>
      <c r="O26" s="27"/>
    </row>
    <row r="27" spans="1:15" ht="13.9" customHeight="1" x14ac:dyDescent="0.25">
      <c r="A27">
        <f>'Cheat Sheet'!B27</f>
        <v>0</v>
      </c>
      <c r="B27" s="26" t="str">
        <f t="shared" si="0"/>
        <v>NO DATA</v>
      </c>
      <c r="C27">
        <f>'Cheat Sheet'!AW27</f>
        <v>0</v>
      </c>
      <c r="D27" s="30">
        <f>'Cheat Sheet'!AP27</f>
        <v>0</v>
      </c>
      <c r="E27" s="30">
        <f>'Cheat Sheet'!AQ27</f>
        <v>0</v>
      </c>
      <c r="F27" s="30">
        <f>'Cheat Sheet'!AR27</f>
        <v>0</v>
      </c>
      <c r="G27" s="2">
        <f>2*Table7[[#This Row],[Longest side]]+2*Table7[[#This Row],[Median side]]</f>
        <v>0</v>
      </c>
      <c r="H27"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27" s="27"/>
      <c r="L27" t="s">
        <v>94</v>
      </c>
      <c r="M27" t="s">
        <v>78</v>
      </c>
      <c r="N27" s="27"/>
      <c r="O27" s="27"/>
    </row>
    <row r="28" spans="1:15" ht="13.9" customHeight="1" x14ac:dyDescent="0.25">
      <c r="A28">
        <f>'Cheat Sheet'!B28</f>
        <v>0</v>
      </c>
      <c r="B28" s="26" t="str">
        <f t="shared" si="0"/>
        <v>NO DATA</v>
      </c>
      <c r="C28" s="30">
        <f>'Cheat Sheet'!AW28</f>
        <v>0</v>
      </c>
      <c r="D28" s="30">
        <f>'Cheat Sheet'!AP28</f>
        <v>0</v>
      </c>
      <c r="E28" s="30">
        <f>'Cheat Sheet'!AQ28</f>
        <v>0</v>
      </c>
      <c r="F28" s="30">
        <f>'Cheat Sheet'!AR28</f>
        <v>0</v>
      </c>
      <c r="G28" s="2">
        <f>2*Table7[[#This Row],[Longest side]]+2*Table7[[#This Row],[Median side]]</f>
        <v>0</v>
      </c>
      <c r="H28"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28" s="27"/>
      <c r="L28" t="s">
        <v>123</v>
      </c>
      <c r="M28" t="s">
        <v>79</v>
      </c>
      <c r="N28" s="27"/>
      <c r="O28" s="27"/>
    </row>
    <row r="29" spans="1:15" ht="13.9" customHeight="1" x14ac:dyDescent="0.25">
      <c r="A29" s="2">
        <f>'Cheat Sheet'!B13</f>
        <v>0</v>
      </c>
      <c r="B29" s="26" t="str">
        <f t="shared" si="0"/>
        <v>NO DATA</v>
      </c>
      <c r="C29">
        <f>'Cheat Sheet'!AW29</f>
        <v>0</v>
      </c>
      <c r="D29" s="30">
        <f>'Cheat Sheet'!AP29</f>
        <v>0</v>
      </c>
      <c r="E29" s="30">
        <f>'Cheat Sheet'!AQ29</f>
        <v>0</v>
      </c>
      <c r="F29" s="30">
        <f>'Cheat Sheet'!AR29</f>
        <v>0</v>
      </c>
      <c r="G29" s="2">
        <f>2*Table7[[#This Row],[Longest side]]+2*Table7[[#This Row],[Median side]]</f>
        <v>0</v>
      </c>
      <c r="H29"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29" s="28"/>
      <c r="L29" t="s">
        <v>124</v>
      </c>
      <c r="M29" t="s">
        <v>80</v>
      </c>
      <c r="N29" s="27"/>
      <c r="O29" s="27"/>
    </row>
    <row r="30" spans="1:15" ht="13.9" customHeight="1" x14ac:dyDescent="0.25">
      <c r="A30" s="2">
        <f>'Cheat Sheet'!B14</f>
        <v>0</v>
      </c>
      <c r="B30" s="26" t="str">
        <f t="shared" si="0"/>
        <v>NO DATA</v>
      </c>
      <c r="C30" s="30">
        <f>'Cheat Sheet'!AW30</f>
        <v>0</v>
      </c>
      <c r="D30" s="30">
        <f>'Cheat Sheet'!AP30</f>
        <v>0</v>
      </c>
      <c r="E30" s="30">
        <f>'Cheat Sheet'!AQ30</f>
        <v>0</v>
      </c>
      <c r="F30" s="30">
        <f>'Cheat Sheet'!AR30</f>
        <v>0</v>
      </c>
      <c r="G30" s="2">
        <f>2*Table7[[#This Row],[Longest side]]+2*Table7[[#This Row],[Median side]]</f>
        <v>0</v>
      </c>
      <c r="H30"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30" s="28"/>
      <c r="L30" t="s">
        <v>125</v>
      </c>
      <c r="M30" t="s">
        <v>81</v>
      </c>
      <c r="N30" s="27"/>
      <c r="O30" s="27"/>
    </row>
    <row r="31" spans="1:15" ht="13.9" customHeight="1" x14ac:dyDescent="0.25">
      <c r="A31" s="2">
        <f>'Cheat Sheet'!B15</f>
        <v>0</v>
      </c>
      <c r="B31" s="26" t="str">
        <f t="shared" si="0"/>
        <v>NO DATA</v>
      </c>
      <c r="C31">
        <f>'Cheat Sheet'!AW31</f>
        <v>0</v>
      </c>
      <c r="D31" s="30">
        <f>'Cheat Sheet'!AP31</f>
        <v>0</v>
      </c>
      <c r="E31" s="30">
        <f>'Cheat Sheet'!AQ31</f>
        <v>0</v>
      </c>
      <c r="F31" s="30">
        <f>'Cheat Sheet'!AR31</f>
        <v>0</v>
      </c>
      <c r="G31" s="2">
        <f>2*Table7[[#This Row],[Longest side]]+2*Table7[[#This Row],[Median side]]</f>
        <v>0</v>
      </c>
      <c r="H31"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31" s="28"/>
      <c r="J31" t="s">
        <v>82</v>
      </c>
      <c r="K31" t="s">
        <v>61</v>
      </c>
      <c r="L31" t="s">
        <v>92</v>
      </c>
      <c r="M31" t="s">
        <v>83</v>
      </c>
      <c r="N31" s="27"/>
      <c r="O31" s="27"/>
    </row>
    <row r="32" spans="1:15" ht="13.9" customHeight="1" x14ac:dyDescent="0.25">
      <c r="A32" s="2">
        <f>'Cheat Sheet'!B16</f>
        <v>0</v>
      </c>
      <c r="B32" s="26" t="str">
        <f t="shared" si="0"/>
        <v>NO DATA</v>
      </c>
      <c r="C32" s="30">
        <f>'Cheat Sheet'!AW32</f>
        <v>0</v>
      </c>
      <c r="D32" s="30">
        <f>'Cheat Sheet'!AP32</f>
        <v>0</v>
      </c>
      <c r="E32" s="30">
        <f>'Cheat Sheet'!AQ32</f>
        <v>0</v>
      </c>
      <c r="F32" s="30">
        <f>'Cheat Sheet'!AR32</f>
        <v>0</v>
      </c>
      <c r="G32" s="2">
        <f>2*Table7[[#This Row],[Longest side]]+2*Table7[[#This Row],[Median side]]</f>
        <v>0</v>
      </c>
      <c r="H32"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32" s="28"/>
      <c r="L32" t="s">
        <v>93</v>
      </c>
      <c r="M32" t="s">
        <v>84</v>
      </c>
      <c r="N32" s="27"/>
      <c r="O32" s="27"/>
    </row>
    <row r="33" spans="1:15" ht="13.9" customHeight="1" x14ac:dyDescent="0.25">
      <c r="A33" s="2">
        <f>'Cheat Sheet'!B33</f>
        <v>0</v>
      </c>
      <c r="B33" s="26" t="str">
        <f t="shared" si="0"/>
        <v>NO DATA</v>
      </c>
      <c r="C33">
        <f>'Cheat Sheet'!AW33</f>
        <v>0</v>
      </c>
      <c r="D33" s="30">
        <f>'Cheat Sheet'!AP33</f>
        <v>0</v>
      </c>
      <c r="E33" s="30">
        <f>'Cheat Sheet'!AQ33</f>
        <v>0</v>
      </c>
      <c r="F33" s="30">
        <f>'Cheat Sheet'!AR33</f>
        <v>0</v>
      </c>
      <c r="G33" s="2">
        <f>2*Table7[[#This Row],[Longest side]]+2*Table7[[#This Row],[Median side]]</f>
        <v>0</v>
      </c>
      <c r="H33"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33" s="28"/>
      <c r="L33" t="s">
        <v>94</v>
      </c>
      <c r="M33" t="s">
        <v>85</v>
      </c>
      <c r="N33" s="27"/>
      <c r="O33" s="27"/>
    </row>
    <row r="34" spans="1:15" ht="13.9" customHeight="1" x14ac:dyDescent="0.25">
      <c r="A34" s="2">
        <f>'Cheat Sheet'!B34</f>
        <v>0</v>
      </c>
      <c r="B34" s="26" t="str">
        <f t="shared" ref="B34:B50" si="1">IF(AND(C34=0,D34=0,E34=0,F34=0),"NO DATA",
IF(AND(C34&lt;=0.375,D34&lt;=15,E34&lt;=12,F34&lt;=0.75),"Small Standard-Size",
IF(AND(C34&lt;=20,D34&lt;=18,E34&lt;=14,F34&lt;=8),"Large Standard Size",
IF(AND(C34&lt;=70,D34&lt;=60,E34&lt;=30,G34&lt;=130),"Small Oversize",
IF(AND(C34&lt;=150,D34&lt;=108,G34&lt;=130),"Medium Oversize",
IF(AND(C34&lt;=150,D34&lt;=108,G34&lt;=165),"Large Oversize",
IF(AND(C34&gt;=150,D34&gt;=108,G34&gt;=165),"Special Oversize",
"No Data")))))))</f>
        <v>NO DATA</v>
      </c>
      <c r="C34" s="30">
        <f>'Cheat Sheet'!AW34</f>
        <v>0</v>
      </c>
      <c r="D34" s="30">
        <f>'Cheat Sheet'!AP34</f>
        <v>0</v>
      </c>
      <c r="E34" s="30">
        <f>'Cheat Sheet'!AQ34</f>
        <v>0</v>
      </c>
      <c r="F34" s="30">
        <f>'Cheat Sheet'!AR34</f>
        <v>0</v>
      </c>
      <c r="G34" s="2">
        <f>2*Table7[[#This Row],[Longest side]]+2*Table7[[#This Row],[Median side]]</f>
        <v>0</v>
      </c>
      <c r="H34"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34" s="28"/>
      <c r="K34" t="s">
        <v>65</v>
      </c>
      <c r="L34" t="s">
        <v>92</v>
      </c>
      <c r="M34" t="s">
        <v>86</v>
      </c>
      <c r="N34" s="27"/>
      <c r="O34" s="27"/>
    </row>
    <row r="35" spans="1:15" ht="13.9" customHeight="1" x14ac:dyDescent="0.25">
      <c r="A35" s="2">
        <f>'Cheat Sheet'!B35</f>
        <v>0</v>
      </c>
      <c r="B35" s="26" t="str">
        <f t="shared" si="1"/>
        <v>NO DATA</v>
      </c>
      <c r="C35">
        <f>'Cheat Sheet'!AW35</f>
        <v>0</v>
      </c>
      <c r="D35" s="30">
        <f>'Cheat Sheet'!AP35</f>
        <v>0</v>
      </c>
      <c r="E35" s="30">
        <f>'Cheat Sheet'!AQ35</f>
        <v>0</v>
      </c>
      <c r="F35" s="30">
        <f>'Cheat Sheet'!AR35</f>
        <v>0</v>
      </c>
      <c r="G35" s="2">
        <f>2*Table7[[#This Row],[Longest side]]+2*Table7[[#This Row],[Median side]]</f>
        <v>0</v>
      </c>
      <c r="H35"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35" s="28"/>
      <c r="L35" t="s">
        <v>93</v>
      </c>
      <c r="M35" t="s">
        <v>87</v>
      </c>
      <c r="N35" s="27"/>
      <c r="O35" s="27"/>
    </row>
    <row r="36" spans="1:15" ht="13.9" customHeight="1" x14ac:dyDescent="0.25">
      <c r="A36" s="2">
        <f>'Cheat Sheet'!B36</f>
        <v>0</v>
      </c>
      <c r="B36" s="26" t="str">
        <f t="shared" si="1"/>
        <v>NO DATA</v>
      </c>
      <c r="C36" s="30">
        <f>'Cheat Sheet'!AW36</f>
        <v>0</v>
      </c>
      <c r="D36" s="30">
        <f>'Cheat Sheet'!AP36</f>
        <v>0</v>
      </c>
      <c r="E36" s="30">
        <f>'Cheat Sheet'!AQ36</f>
        <v>0</v>
      </c>
      <c r="F36" s="30">
        <f>'Cheat Sheet'!AR36</f>
        <v>0</v>
      </c>
      <c r="G36" s="2">
        <f>2*Table7[[#This Row],[Longest side]]+2*Table7[[#This Row],[Median side]]</f>
        <v>0</v>
      </c>
      <c r="H36"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36" s="28"/>
      <c r="L36" t="s">
        <v>94</v>
      </c>
      <c r="M36" t="s">
        <v>88</v>
      </c>
      <c r="N36" s="27"/>
      <c r="O36" s="27"/>
    </row>
    <row r="37" spans="1:15" ht="13.9" customHeight="1" x14ac:dyDescent="0.25">
      <c r="A37" s="2">
        <f>'Cheat Sheet'!B37</f>
        <v>0</v>
      </c>
      <c r="B37" s="26" t="str">
        <f t="shared" si="1"/>
        <v>NO DATA</v>
      </c>
      <c r="C37">
        <f>'Cheat Sheet'!AW37</f>
        <v>0</v>
      </c>
      <c r="D37" s="30">
        <f>'Cheat Sheet'!AP37</f>
        <v>0</v>
      </c>
      <c r="E37" s="30">
        <f>'Cheat Sheet'!AQ37</f>
        <v>0</v>
      </c>
      <c r="F37" s="30">
        <f>'Cheat Sheet'!AR37</f>
        <v>0</v>
      </c>
      <c r="G37" s="2">
        <f>2*Table7[[#This Row],[Longest side]]+2*Table7[[#This Row],[Median side]]</f>
        <v>0</v>
      </c>
      <c r="H37"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37" s="28"/>
      <c r="L37" t="s">
        <v>123</v>
      </c>
      <c r="M37" t="s">
        <v>89</v>
      </c>
      <c r="N37" s="27"/>
      <c r="O37" s="27"/>
    </row>
    <row r="38" spans="1:15" ht="13.9" customHeight="1" x14ac:dyDescent="0.25">
      <c r="A38" s="2">
        <f>'Cheat Sheet'!B38</f>
        <v>0</v>
      </c>
      <c r="B38" s="26" t="str">
        <f t="shared" si="1"/>
        <v>NO DATA</v>
      </c>
      <c r="C38" s="30">
        <f>'Cheat Sheet'!AW38</f>
        <v>0</v>
      </c>
      <c r="D38" s="30">
        <f>'Cheat Sheet'!AP38</f>
        <v>0</v>
      </c>
      <c r="E38" s="30">
        <f>'Cheat Sheet'!AQ38</f>
        <v>0</v>
      </c>
      <c r="F38" s="30">
        <f>'Cheat Sheet'!AR38</f>
        <v>0</v>
      </c>
      <c r="G38" s="2">
        <f>2*Table7[[#This Row],[Longest side]]+2*Table7[[#This Row],[Median side]]</f>
        <v>0</v>
      </c>
      <c r="H38"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38" s="28"/>
      <c r="L38" t="s">
        <v>124</v>
      </c>
      <c r="M38" t="s">
        <v>90</v>
      </c>
      <c r="N38" s="27"/>
      <c r="O38" s="27"/>
    </row>
    <row r="39" spans="1:15" ht="13.9" customHeight="1" x14ac:dyDescent="0.25">
      <c r="A39" s="2">
        <f>'Cheat Sheet'!B39</f>
        <v>0</v>
      </c>
      <c r="B39" s="26" t="str">
        <f t="shared" si="1"/>
        <v>NO DATA</v>
      </c>
      <c r="C39">
        <f>'Cheat Sheet'!AW39</f>
        <v>0</v>
      </c>
      <c r="D39" s="30">
        <f>'Cheat Sheet'!AP39</f>
        <v>0</v>
      </c>
      <c r="E39" s="30">
        <f>'Cheat Sheet'!AQ39</f>
        <v>0</v>
      </c>
      <c r="F39" s="30">
        <f>'Cheat Sheet'!AR39</f>
        <v>0</v>
      </c>
      <c r="G39" s="2">
        <f>2*Table7[[#This Row],[Longest side]]+2*Table7[[#This Row],[Median side]]</f>
        <v>0</v>
      </c>
      <c r="H39"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39" s="27"/>
      <c r="L39" t="s">
        <v>125</v>
      </c>
      <c r="M39" t="s">
        <v>91</v>
      </c>
      <c r="N39" s="27"/>
      <c r="O39" s="27"/>
    </row>
    <row r="40" spans="1:15" ht="13.9" customHeight="1" x14ac:dyDescent="0.25">
      <c r="A40" s="2">
        <f>'Cheat Sheet'!B40</f>
        <v>0</v>
      </c>
      <c r="B40" s="26" t="str">
        <f t="shared" si="1"/>
        <v>NO DATA</v>
      </c>
      <c r="C40" s="30">
        <f>'Cheat Sheet'!AW40</f>
        <v>0</v>
      </c>
      <c r="D40" s="30">
        <f>'Cheat Sheet'!AP40</f>
        <v>0</v>
      </c>
      <c r="E40" s="30">
        <f>'Cheat Sheet'!AQ40</f>
        <v>0</v>
      </c>
      <c r="F40" s="30">
        <f>'Cheat Sheet'!AR40</f>
        <v>0</v>
      </c>
      <c r="G40" s="2">
        <f>2*Table7[[#This Row],[Longest side]]+2*Table7[[#This Row],[Median side]]</f>
        <v>0</v>
      </c>
      <c r="H40"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40" s="27"/>
      <c r="J40" s="27"/>
      <c r="K40" s="27"/>
      <c r="L40" s="27"/>
      <c r="M40" s="27"/>
      <c r="N40" s="27"/>
      <c r="O40" s="27"/>
    </row>
    <row r="41" spans="1:15" ht="13.9" customHeight="1" x14ac:dyDescent="0.25">
      <c r="A41" s="2">
        <f>'Cheat Sheet'!B41</f>
        <v>0</v>
      </c>
      <c r="B41" s="26" t="str">
        <f t="shared" si="1"/>
        <v>NO DATA</v>
      </c>
      <c r="C41">
        <f>'Cheat Sheet'!AW41</f>
        <v>0</v>
      </c>
      <c r="D41" s="30">
        <f>'Cheat Sheet'!AP41</f>
        <v>0</v>
      </c>
      <c r="E41" s="30">
        <f>'Cheat Sheet'!AQ41</f>
        <v>0</v>
      </c>
      <c r="F41" s="30">
        <f>'Cheat Sheet'!AR41</f>
        <v>0</v>
      </c>
      <c r="G41" s="2">
        <f>2*Table7[[#This Row],[Longest side]]+2*Table7[[#This Row],[Median side]]</f>
        <v>0</v>
      </c>
      <c r="H41"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41" s="27"/>
      <c r="J41" s="27"/>
      <c r="K41" s="27"/>
      <c r="L41" s="27"/>
      <c r="M41" s="27"/>
      <c r="N41" s="27"/>
      <c r="O41" s="27"/>
    </row>
    <row r="42" spans="1:15" ht="13.9" customHeight="1" x14ac:dyDescent="0.25">
      <c r="A42" s="2">
        <f>'Cheat Sheet'!B42</f>
        <v>0</v>
      </c>
      <c r="B42" s="26" t="str">
        <f t="shared" si="1"/>
        <v>NO DATA</v>
      </c>
      <c r="C42" s="30">
        <f>'Cheat Sheet'!AW42</f>
        <v>0</v>
      </c>
      <c r="D42" s="30">
        <f>'Cheat Sheet'!AP42</f>
        <v>0</v>
      </c>
      <c r="E42" s="30">
        <f>'Cheat Sheet'!AQ42</f>
        <v>0</v>
      </c>
      <c r="F42" s="30">
        <f>'Cheat Sheet'!AR42</f>
        <v>0</v>
      </c>
      <c r="G42" s="2">
        <f>2*Table7[[#This Row],[Longest side]]+2*Table7[[#This Row],[Median side]]</f>
        <v>0</v>
      </c>
      <c r="H42"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42" s="27"/>
      <c r="J42" s="27"/>
      <c r="K42" s="27"/>
      <c r="L42" s="27"/>
      <c r="M42" s="27"/>
      <c r="N42" s="27"/>
      <c r="O42" s="27"/>
    </row>
    <row r="43" spans="1:15" ht="13.9" customHeight="1" x14ac:dyDescent="0.25">
      <c r="A43" s="2">
        <f>'Cheat Sheet'!B43</f>
        <v>0</v>
      </c>
      <c r="B43" s="26" t="str">
        <f t="shared" si="1"/>
        <v>NO DATA</v>
      </c>
      <c r="C43">
        <f>'Cheat Sheet'!AW43</f>
        <v>0</v>
      </c>
      <c r="D43" s="30">
        <f>'Cheat Sheet'!AP43</f>
        <v>0</v>
      </c>
      <c r="E43" s="30">
        <f>'Cheat Sheet'!AQ43</f>
        <v>0</v>
      </c>
      <c r="F43" s="30">
        <f>'Cheat Sheet'!AR43</f>
        <v>0</v>
      </c>
      <c r="G43" s="2">
        <f>2*Table7[[#This Row],[Longest side]]+2*Table7[[#This Row],[Median side]]</f>
        <v>0</v>
      </c>
      <c r="H43"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43" s="27"/>
      <c r="J43" s="27"/>
      <c r="K43" s="27"/>
      <c r="L43" s="27"/>
      <c r="M43" s="27"/>
      <c r="N43" s="27"/>
      <c r="O43" s="27"/>
    </row>
    <row r="44" spans="1:15" ht="13.9" customHeight="1" x14ac:dyDescent="0.25">
      <c r="A44" s="2">
        <f>'Cheat Sheet'!B44</f>
        <v>0</v>
      </c>
      <c r="B44" s="26" t="str">
        <f t="shared" si="1"/>
        <v>NO DATA</v>
      </c>
      <c r="C44" s="30">
        <f>'Cheat Sheet'!AW44</f>
        <v>0</v>
      </c>
      <c r="D44" s="30">
        <f>'Cheat Sheet'!AP44</f>
        <v>0</v>
      </c>
      <c r="E44" s="30">
        <f>'Cheat Sheet'!AQ44</f>
        <v>0</v>
      </c>
      <c r="F44" s="30">
        <f>'Cheat Sheet'!AR44</f>
        <v>0</v>
      </c>
      <c r="G44" s="2">
        <f>2*Table7[[#This Row],[Longest side]]+2*Table7[[#This Row],[Median side]]</f>
        <v>0</v>
      </c>
      <c r="H44"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44" s="27"/>
      <c r="J44" s="27"/>
      <c r="K44" s="27"/>
      <c r="L44" s="27"/>
      <c r="M44" s="27"/>
      <c r="N44" s="27"/>
      <c r="O44" s="27"/>
    </row>
    <row r="45" spans="1:15" ht="13.9" customHeight="1" x14ac:dyDescent="0.25">
      <c r="A45" s="2">
        <f>'Cheat Sheet'!B45</f>
        <v>0</v>
      </c>
      <c r="B45" s="26" t="str">
        <f t="shared" si="1"/>
        <v>NO DATA</v>
      </c>
      <c r="C45">
        <f>'Cheat Sheet'!AW45</f>
        <v>0</v>
      </c>
      <c r="D45" s="30">
        <f>'Cheat Sheet'!AP45</f>
        <v>0</v>
      </c>
      <c r="E45" s="30">
        <f>'Cheat Sheet'!AQ45</f>
        <v>0</v>
      </c>
      <c r="F45" s="30">
        <f>'Cheat Sheet'!AR45</f>
        <v>0</v>
      </c>
      <c r="G45" s="2">
        <f>2*Table7[[#This Row],[Longest side]]+2*Table7[[#This Row],[Median side]]</f>
        <v>0</v>
      </c>
      <c r="H45"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45" s="27"/>
      <c r="J45" s="27"/>
      <c r="K45" s="27"/>
      <c r="L45" s="27"/>
      <c r="M45" s="27"/>
      <c r="N45" s="27"/>
      <c r="O45" s="27"/>
    </row>
    <row r="46" spans="1:15" ht="13.9" customHeight="1" x14ac:dyDescent="0.25">
      <c r="A46" s="2">
        <f>'Cheat Sheet'!B46</f>
        <v>0</v>
      </c>
      <c r="B46" s="26" t="str">
        <f t="shared" si="1"/>
        <v>NO DATA</v>
      </c>
      <c r="C46" s="30">
        <f>'Cheat Sheet'!AW46</f>
        <v>0</v>
      </c>
      <c r="D46" s="30">
        <f>'Cheat Sheet'!AP46</f>
        <v>0</v>
      </c>
      <c r="E46" s="30">
        <f>'Cheat Sheet'!AQ46</f>
        <v>0</v>
      </c>
      <c r="F46" s="30">
        <f>'Cheat Sheet'!AR46</f>
        <v>0</v>
      </c>
      <c r="G46" s="2">
        <f>2*Table7[[#This Row],[Longest side]]+2*Table7[[#This Row],[Median side]]</f>
        <v>0</v>
      </c>
      <c r="H46"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46" s="27"/>
      <c r="J46" s="27"/>
      <c r="K46" s="27"/>
      <c r="L46" s="27"/>
      <c r="M46" s="27"/>
      <c r="N46" s="27"/>
      <c r="O46" s="27"/>
    </row>
    <row r="47" spans="1:15" ht="13.9" customHeight="1" x14ac:dyDescent="0.25">
      <c r="A47" s="2">
        <f>'Cheat Sheet'!B47</f>
        <v>0</v>
      </c>
      <c r="B47" s="26" t="str">
        <f t="shared" si="1"/>
        <v>NO DATA</v>
      </c>
      <c r="C47">
        <f>'Cheat Sheet'!AW47</f>
        <v>0</v>
      </c>
      <c r="D47" s="30">
        <f>'Cheat Sheet'!AP47</f>
        <v>0</v>
      </c>
      <c r="E47" s="30">
        <f>'Cheat Sheet'!AQ47</f>
        <v>0</v>
      </c>
      <c r="F47" s="30">
        <f>'Cheat Sheet'!AR47</f>
        <v>0</v>
      </c>
      <c r="G47" s="2">
        <f>2*Table7[[#This Row],[Longest side]]+2*Table7[[#This Row],[Median side]]</f>
        <v>0</v>
      </c>
      <c r="H47"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47" s="27"/>
      <c r="J47" s="27"/>
      <c r="K47" s="27"/>
      <c r="L47" s="27"/>
      <c r="M47" s="27"/>
      <c r="N47" s="27"/>
      <c r="O47" s="27"/>
    </row>
    <row r="48" spans="1:15" ht="13.9" customHeight="1" x14ac:dyDescent="0.25">
      <c r="A48" s="2">
        <f>'Cheat Sheet'!B48</f>
        <v>0</v>
      </c>
      <c r="B48" s="26" t="str">
        <f t="shared" si="1"/>
        <v>NO DATA</v>
      </c>
      <c r="C48" s="30">
        <f>'Cheat Sheet'!AW48</f>
        <v>0</v>
      </c>
      <c r="D48" s="30">
        <f>'Cheat Sheet'!AP48</f>
        <v>0</v>
      </c>
      <c r="E48" s="30">
        <f>'Cheat Sheet'!AQ48</f>
        <v>0</v>
      </c>
      <c r="F48" s="30">
        <f>'Cheat Sheet'!AR48</f>
        <v>0</v>
      </c>
      <c r="G48" s="2">
        <f>2*Table7[[#This Row],[Longest side]]+2*Table7[[#This Row],[Median side]]</f>
        <v>0</v>
      </c>
      <c r="H48"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48" s="27"/>
      <c r="J48" s="27"/>
      <c r="K48" s="27"/>
      <c r="L48" s="27"/>
      <c r="M48" s="27"/>
      <c r="N48" s="27"/>
      <c r="O48" s="27"/>
    </row>
    <row r="49" spans="1:15" ht="13.9" customHeight="1" x14ac:dyDescent="0.25">
      <c r="A49" s="2">
        <f>'Cheat Sheet'!B49</f>
        <v>0</v>
      </c>
      <c r="B49" s="26" t="str">
        <f t="shared" si="1"/>
        <v>NO DATA</v>
      </c>
      <c r="C49">
        <f>'Cheat Sheet'!AW49</f>
        <v>0</v>
      </c>
      <c r="D49" s="30">
        <f>'Cheat Sheet'!AP49</f>
        <v>0</v>
      </c>
      <c r="E49" s="30">
        <f>'Cheat Sheet'!AQ49</f>
        <v>0</v>
      </c>
      <c r="F49" s="30">
        <f>'Cheat Sheet'!AR49</f>
        <v>0</v>
      </c>
      <c r="G49" s="2">
        <f>2*Table7[[#This Row],[Longest side]]+2*Table7[[#This Row],[Median side]]</f>
        <v>0</v>
      </c>
      <c r="H49"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49" s="27"/>
      <c r="J49" s="27"/>
      <c r="K49" s="27"/>
      <c r="L49" s="27"/>
      <c r="M49" s="27"/>
      <c r="N49" s="27"/>
      <c r="O49" s="27"/>
    </row>
    <row r="50" spans="1:15" ht="13.9" customHeight="1" x14ac:dyDescent="0.25">
      <c r="A50" s="2">
        <f>'Cheat Sheet'!B50</f>
        <v>0</v>
      </c>
      <c r="B50" s="26" t="str">
        <f t="shared" si="1"/>
        <v>NO DATA</v>
      </c>
      <c r="C50" s="30">
        <f>'Cheat Sheet'!AW50</f>
        <v>0</v>
      </c>
      <c r="D50" s="30">
        <f>'Cheat Sheet'!AP50</f>
        <v>0</v>
      </c>
      <c r="E50" s="30">
        <f>'Cheat Sheet'!AQ50</f>
        <v>0</v>
      </c>
      <c r="F50" s="30">
        <f>'Cheat Sheet'!AR50</f>
        <v>0</v>
      </c>
      <c r="G50" s="2">
        <f>2*Table7[[#This Row],[Longest side]]+2*Table7[[#This Row],[Median side]]</f>
        <v>0</v>
      </c>
      <c r="H50" s="5" t="str">
        <f>IF(AND(Table7[[#This Row],[Product size tier]]="Large Standard Size",Table7[[#This Row],[Unit weight*]]&gt;0.375,Table7[[#This Row],[Unit weight*]]&lt;=0.75),3.64,
IF(AND(Table7[[#This Row],[Product size tier]]="Large Standard Size",Table7[[#This Row],[Unit weight*]]&gt;0.75,Table7[[#This Row],[Unit weight*]]&lt;=1),4.25,
IF(AND(Table7[[#This Row],[Product size tier]]="Large Standard Size",Table7[[#This Row],[Unit weight*]]&gt;1,Table7[[#This Row],[Unit weight*]]&lt;=2),4.95,
IF(AND(Table7[[#This Row],[Product size tier]]="Large Standard Size",Table7[[#This Row],[Unit weight*]]&gt;2,Table7[[#This Row],[Unit weight*]]&lt;=3),5.68,
IF(AND(Table7[[#This Row],[Product size tier]]="Large Standard Size",Table7[[#This Row],[Unit weight*]]&gt;3,Table7[[#This Row],[Unit weight*]]&lt;=4),5.98,
IF(AND(Table7[[#This Row],[Product size tier]]="Large Standard Size",Table7[[#This Row],[Unit weight*]]&gt;4,Table7[[#This Row],[Unit weight*]]&lt;=5),6.28,
IF(AND(Table7[[#This Row],[Product size tier]]="Large Standard Size",Table7[[#This Row],[Unit weight*]]&gt;5,Table7[[#This Row],[Unit weight*]]&lt;=6),6.58,
IF(AND(Table7[[#This Row],[Product size tier]]="Large Standard Size",Table7[[#This Row],[Unit weight*]]&gt;6,Table7[[#This Row],[Unit weight*]]&lt;=7),6.88,
IF(AND(Table7[[#This Row],[Product size tier]]="Large Standard Size",Table7[[#This Row],[Unit weight*]]&gt;7,Table7[[#This Row],[Unit weight*]]&lt;=8),7.18,
IF(AND(Table7[[#This Row],[Product size tier]]="Large Standard Size",Table7[[#This Row],[Unit weight*]]&gt;8,Table7[[#This Row],[Unit weight*]]&lt;=9),7.48,
IF(AND(Table7[[#This Row],[Product size tier]]="Large Standard Size",Table7[[#This Row],[Unit weight*]]&gt;9,Table7[[#This Row],[Unit weight*]]&lt;=10),7.78,
IF(AND(Table7[[#This Row],[Product size tier]]="Large Standard Size",Table7[[#This Row],[Unit weight*]]&gt;10,Table7[[#This Row],[Unit weight*]]&lt;=11),8.08,
IF(AND(Table7[[#This Row],[Product size tier]]="Large Standard Size",Table7[[#This Row],[Unit weight*]]&gt;11,Table7[[#This Row],[Unit weight*]]&lt;=12),8.38,
IF(AND(Table7[[#This Row],[Product size tier]]="Large Standard Size",Table7[[#This Row],[Unit weight*]]&gt;12,Table7[[#This Row],[Unit weight*]]&lt;=13),8.68,
IF(AND(Table7[[#This Row],[Product size tier]]="Large Standard Size",Table7[[#This Row],[Unit weight*]]&gt;13,Table7[[#This Row],[Unit weight*]]&lt;=14),8.98,
IF(AND(Table7[[#This Row],[Product size tier]]="Large Standard Size",Table7[[#This Row],[Unit weight*]]&gt;14,Table7[[#This Row],[Unit weight*]]&lt;=15),9.28,
IF(AND(Table7[[#This Row],[Product size tier]]="Large Standard Size",Table7[[#This Row],[Unit weight*]]&gt;15,Table7[[#This Row],[Unit weight*]]&lt;=16),9.28,
IF(AND(Table7[[#This Row],[Product size tier]]="Large Standard Size",Table7[[#This Row],[Unit weight*]]&gt;16,Table7[[#This Row],[Unit weight*]]&lt;=17),9.58,
IF(AND(Table7[[#This Row],[Product size tier]]="Large Standard Size",Table7[[#This Row],[Unit weight*]]&gt;17,Table7[[#This Row],[Unit weight*]]&lt;=18),9.88,
IF(AND(Table7[[#This Row],[Product size tier]]="Large Standard Size",Table7[[#This Row],[Unit weight*]]&gt;18,Table7[[#This Row],[Unit weight*]]&lt;=19),10.18,
IF(AND(Table7[[#This Row],[Product size tier]]="Large Standard Size",Table7[[#This Row],[Unit weight*]]&gt;19,Table7[[#This Row],[Unit weight*]]&lt;=20),10.48,
IF(AND(Table7[[#This Row],[Product size tier]]="Small Oversize"),"CALCULATE MANUALLY",
IF(AND(Table7[[#This Row],[Product size tier]]="Small Oversize",Table7[[#This Row],[Unit weight*]]&gt;0,Table7[[#This Row],[Unit weight*]]&lt;=70),8.66,
IF(AND(Table7[[#This Row],[Product size tier]]="Medium Oversize",Table7[[#This Row],[Unit weight*]]&gt;0,Table7[[#This Row],[Unit weight*]]&lt;=150),11.37,
IF(AND(Table7[[#This Row],[Product size tier]]="Large Oversize",Table7[[#This Row],[Unit weight*]]&gt;0,Table7[[#This Row],[Unit weight*]]&lt;=90),76.57,
IF(AND(Table7[[#This Row],[Product size tier]]="Special Oversize",Table7[[#This Row],[Unit weight*]]&gt;150),138.11,
IF(AND(Table7[[#This Row],[Product size tier]]="Small Standard Size",Table7[[#This Row],[Unit weight*]]&lt;0.375),2.7,
IF(AND(Table7[[#This Row],[Product size tier]]="Small Standard Size",Table7[[#This Row],[Unit weight*]]&gt;0.375,Table7[[#This Row],[Unit weight*]]&lt;=0.75),2.84,
IF(AND(Table7[[#This Row],[Product size tier]]="Small Standard Size",Table7[[#This Row],[Unit weight*]]&gt;0.75,Table7[[#This Row],[Unit weight*]]&lt;=1),3.32,"NO DATA")))))))))))))))))))))))))))))</f>
        <v>NO DATA</v>
      </c>
      <c r="I50" s="27"/>
      <c r="J50" s="27"/>
      <c r="K50" s="27"/>
      <c r="L50" s="27"/>
      <c r="M50" s="27"/>
      <c r="N50" s="27"/>
      <c r="O50" s="27"/>
    </row>
    <row r="55" spans="1:15" ht="13.9" customHeight="1" x14ac:dyDescent="0.25">
      <c r="A55">
        <f>'Cheat Sheet'!B30</f>
        <v>0</v>
      </c>
    </row>
    <row r="56" spans="1:15" ht="13.9" customHeight="1" x14ac:dyDescent="0.25">
      <c r="A56">
        <f>'Cheat Sheet'!B31</f>
        <v>0</v>
      </c>
    </row>
    <row r="57" spans="1:15" ht="13.9" customHeight="1" x14ac:dyDescent="0.25">
      <c r="A57">
        <f>'Cheat Sheet'!B32</f>
        <v>0</v>
      </c>
    </row>
    <row r="58" spans="1:15" ht="13.9" customHeight="1" x14ac:dyDescent="0.25">
      <c r="A58">
        <f>'Cheat Sheet'!B33</f>
        <v>0</v>
      </c>
    </row>
    <row r="59" spans="1:15" ht="13.9" customHeight="1" x14ac:dyDescent="0.25">
      <c r="A59">
        <f>'Cheat Sheet'!B34</f>
        <v>0</v>
      </c>
    </row>
    <row r="60" spans="1:15" ht="13.9" customHeight="1" x14ac:dyDescent="0.25">
      <c r="A60">
        <f>'Cheat Sheet'!B35</f>
        <v>0</v>
      </c>
    </row>
    <row r="61" spans="1:15" ht="13.9" customHeight="1" x14ac:dyDescent="0.25">
      <c r="A61">
        <f>'Cheat Sheet'!B36</f>
        <v>0</v>
      </c>
    </row>
    <row r="62" spans="1:15" ht="13.9" customHeight="1" x14ac:dyDescent="0.25">
      <c r="A62">
        <f>'Cheat Sheet'!B37</f>
        <v>0</v>
      </c>
    </row>
    <row r="63" spans="1:15" ht="13.9" customHeight="1" x14ac:dyDescent="0.25">
      <c r="A63">
        <f>'Cheat Sheet'!B38</f>
        <v>0</v>
      </c>
    </row>
    <row r="64" spans="1:15" ht="13.9" customHeight="1" x14ac:dyDescent="0.25">
      <c r="A64">
        <f>'Cheat Sheet'!B39</f>
        <v>0</v>
      </c>
    </row>
    <row r="65" spans="1:1" ht="13.9" customHeight="1" x14ac:dyDescent="0.25">
      <c r="A65">
        <f>'Cheat Sheet'!B40</f>
        <v>0</v>
      </c>
    </row>
  </sheetData>
  <dataValidations count="1">
    <dataValidation type="list" allowBlank="1" showInputMessage="1" showErrorMessage="1" sqref="B41" xr:uid="{406D2B22-3A19-4F41-A469-155F48D10BB6}">
      <formula1>$A$33:$A$34</formula1>
    </dataValidation>
  </dataValidations>
  <pageMargins left="0.7" right="0.7" top="0.75" bottom="0.75" header="0.3" footer="0.3"/>
  <pageSetup paperSize="9" orientation="portrait" horizontalDpi="4294967293" verticalDpi="0" r:id="rId1"/>
  <ignoredErrors>
    <ignoredError sqref="A29:A32" calculatedColumn="1"/>
  </ignoredErrors>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E n D S U t M H 8 y S k A A A A 9 Q A A A B I A H A B D b 2 5 m a W c v U G F j a 2 F n Z S 5 4 b W w g o h g A K K A U A A A A A A A A A A A A A A A A A A A A A A A A A A A A h Y 8 x D o I w G I W v Q r r T l u K g p J Q Y V 0 l M T I x x a 0 q F R v g x t F j u 5 u C R v I I Y R d 0 c 3 / e + 4 b 3 7 9 c a z o a m D i + 6 s a S F F E a Y o 0 K D a w k C Z o t 4 d w z n K B N 9 I d Z K l D k Y Z b D L Y I k W V c + e E E O 8 9 9 j F u u 5 I w S i O y z 9 d b V e l G o o 9 s / s u h A e s k K I 0 E 3 7 3 G C I Y X M Z 4 x h i k n E + O 5 g W / P x r n P 9 g f y V V + 7 v t N C Q 3 h Y c j J F T t 4 X x A N Q S w M E F A A C A A g A E n D S 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J w 0 l I o i k e 4 D g A A A B E A A A A T A B w A R m 9 y b X V s Y X M v U 2 V j d G l v b j E u b S C i G A A o o B Q A A A A A A A A A A A A A A A A A A A A A A A A A A A A r T k 0 u y c z P U w i G 0 I b W A F B L A Q I t A B Q A A g A I A B J w 0 l L T B / M k p A A A A P U A A A A S A A A A A A A A A A A A A A A A A A A A A A B D b 2 5 m a W c v U G F j a 2 F n Z S 5 4 b W x Q S w E C L Q A U A A I A C A A S c N J S D 8 r p q 6 Q A A A D p A A A A E w A A A A A A A A A A A A A A A A D w A A A A W 0 N v b n R l b n R f V H l w Z X N d L n h t b F B L A Q I t A B Q A A g A I A B J w 0 l 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B I q T A e u 0 n S 4 P L l 9 F c E Q O P A A A A A A I A A A A A A B B m A A A A A Q A A I A A A A F t C / N E 6 A N C o V + u n y j g J g 5 H q O y E 6 x t m g 4 u o W 2 z B q X y H v A A A A A A 6 A A A A A A g A A I A A A A M K u f U s I / q 8 z 1 m 0 N E Z n + F d 1 l i Y E l T L X t g H E r O 0 7 Z p f s M U A A A A C E t P + Z f o x 0 G 0 W a B 8 2 j G t c O f R M P l J Q I 6 L 2 U j V e w d U K + J 3 I I / U E s 7 a t 4 7 h L n o o j m G u t V B B i 1 R y S R e O 9 j d N 5 F g q z 0 W k c U / 5 l / + G d p 6 t e l y h m S C Q A A A A B s 5 K 2 1 5 U 2 f p f K e M 0 3 u r c l A 5 t j / K a L 7 1 0 1 r A U A 2 + O k Q 4 Y a w E 9 N s A c T F m T U h U f K x H 0 a B R K t 9 K 2 R J k M v D / h l U l k C A = < / D a t a M a s h u p > 
</file>

<file path=customXml/itemProps1.xml><?xml version="1.0" encoding="utf-8"?>
<ds:datastoreItem xmlns:ds="http://schemas.openxmlformats.org/officeDocument/2006/customXml" ds:itemID="{537A10B2-4536-4D92-B293-C4E020E29BF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Cheat Sheet</vt:lpstr>
      <vt:lpstr>Fulfilment Fee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Rodgers</dc:creator>
  <cp:lastModifiedBy>Dan Rodgers</cp:lastModifiedBy>
  <dcterms:created xsi:type="dcterms:W3CDTF">2021-06-02T07:17:10Z</dcterms:created>
  <dcterms:modified xsi:type="dcterms:W3CDTF">2021-09-23T10:54:39Z</dcterms:modified>
</cp:coreProperties>
</file>