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SHARED DOCUMENTS\PUBLIC RELATIONS - MARKETING\Give Local\2020\Toolkits\Quick Links\Essentials - needs work\"/>
    </mc:Choice>
  </mc:AlternateContent>
  <xr:revisionPtr revIDLastSave="0" documentId="13_ncr:1_{A226EDF9-B293-4AC0-A71F-A0DF2186A541}" xr6:coauthVersionLast="45" xr6:coauthVersionMax="45" xr10:uidLastSave="{00000000-0000-0000-0000-000000000000}"/>
  <bookViews>
    <workbookView xWindow="-110" yWindow="-110" windowWidth="19420" windowHeight="10420" tabRatio="741" activeTab="5" xr2:uid="{00000000-000D-0000-FFFF-FFFF00000000}"/>
  </bookViews>
  <sheets>
    <sheet name="Jan" sheetId="1" r:id="rId1"/>
    <sheet name="Feb" sheetId="6" r:id="rId2"/>
    <sheet name="Mar" sheetId="17" r:id="rId3"/>
    <sheet name="Apr" sheetId="18" r:id="rId4"/>
    <sheet name="May" sheetId="19" r:id="rId5"/>
    <sheet name="Jun" sheetId="20" r:id="rId6"/>
    <sheet name="Jul" sheetId="21" r:id="rId7"/>
    <sheet name="Aug" sheetId="22" r:id="rId8"/>
    <sheet name="Sep" sheetId="23" r:id="rId9"/>
    <sheet name="Oct" sheetId="24" r:id="rId10"/>
    <sheet name="Nov" sheetId="25" r:id="rId11"/>
    <sheet name="Dec" sheetId="26" r:id="rId12"/>
  </sheets>
  <definedNames>
    <definedName name="AprSun1">DATE(CalendarYear,4,1)-WEEKDAY(DATE(CalendarYear,4,1))+1</definedName>
    <definedName name="AssignmentDays" localSheetId="3">Apr!#REF!</definedName>
    <definedName name="AssignmentDays" localSheetId="7">Aug!#REF!</definedName>
    <definedName name="AssignmentDays" localSheetId="11">Dec!#REF!</definedName>
    <definedName name="AssignmentDays" localSheetId="1">Feb!#REF!</definedName>
    <definedName name="AssignmentDays" localSheetId="6">Jul!#REF!</definedName>
    <definedName name="AssignmentDays" localSheetId="5">Jun!#REF!</definedName>
    <definedName name="AssignmentDays" localSheetId="2">Mar!#REF!</definedName>
    <definedName name="AssignmentDays" localSheetId="4">May!#REF!</definedName>
    <definedName name="AssignmentDays" localSheetId="10">Nov!#REF!</definedName>
    <definedName name="AssignmentDays" localSheetId="9">Oct!#REF!</definedName>
    <definedName name="AssignmentDays" localSheetId="8">Sep!#REF!</definedName>
    <definedName name="AssignmentDays">Jan!#REF!</definedName>
    <definedName name="AugSun1">DATE(CalendarYear,8,1)-WEEKDAY(DATE(CalendarYear,8,1))+1</definedName>
    <definedName name="CalendarYear">Jan!$B$1</definedName>
    <definedName name="ColumnTitle1">JanuaryAssignments[[#Headers],[WEEK  ]]</definedName>
    <definedName name="ColumnTitle10">OctoberAssignments[[#Headers],[WEEK  ]]</definedName>
    <definedName name="ColumnTitle11">NovemberAssignments[[#Headers],[WEEK  ]]</definedName>
    <definedName name="ColumnTitle12">DecemberAssignments[[#Headers],[WEEK]]</definedName>
    <definedName name="ColumnTitle2">FebruaryAssignments[[#Headers],[WEEK   ]]</definedName>
    <definedName name="ColumnTitle3">MachrAssignments[[#Headers],[WEEK   ]]</definedName>
    <definedName name="ColumnTitle4">AprilAssignments[[#Headers],[WEEK]]</definedName>
    <definedName name="ColumnTitle5">MayAssignments[[#Headers],[WEEK ]]</definedName>
    <definedName name="ColumnTitle6">JuneAssignments[[#Headers],[WEEK ]]</definedName>
    <definedName name="ColumnTitle7">JulyAssignments[[#Headers],[WEEK]]</definedName>
    <definedName name="ColumnTitle8">AugustAssignments[[#Headers],[WEEK]]</definedName>
    <definedName name="ColumnTitle9">SeptemberAssignments[[#Headers],[WEEK]]</definedName>
    <definedName name="ColumnTitleRegion1..I8.1">Jan!$C$2</definedName>
    <definedName name="ColumnTitleRegion1..I8.10">Oct!$C$2</definedName>
    <definedName name="ColumnTitleRegion1..I8.11">Nov!$C$2</definedName>
    <definedName name="ColumnTitleRegion1..I8.12">Dec!$C$2</definedName>
    <definedName name="ColumnTitleRegion1..I8.2">Feb!$C$2</definedName>
    <definedName name="ColumnTitleRegion1..I8.3">Mar!$C$2</definedName>
    <definedName name="ColumnTitleRegion1..I8.4">Apr!$C$2</definedName>
    <definedName name="ColumnTitleRegion1..I8.5">May!$C$2</definedName>
    <definedName name="ColumnTitleRegion1..I8.6">Jun!$C$2</definedName>
    <definedName name="ColumnTitleRegion1..I8.7">Jul!$C$2</definedName>
    <definedName name="ColumnTitleRegion1..I8.8">Aug!$C$2</definedName>
    <definedName name="ColumnTitleRegion1..I8.9">Sep!$C$2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Apr!$K$2:$K$6</definedName>
    <definedName name="ImportantDatesTable" localSheetId="7">Aug!$K$2:$K$6</definedName>
    <definedName name="ImportantDatesTable" localSheetId="11">Dec!$K$3:$K$6</definedName>
    <definedName name="ImportantDatesTable" localSheetId="1">Feb!$K$2:$K$6</definedName>
    <definedName name="ImportantDatesTable" localSheetId="6">Jul!$K$2:$K$6</definedName>
    <definedName name="ImportantDatesTable" localSheetId="5">Jun!$K$2:$K$6</definedName>
    <definedName name="ImportantDatesTable" localSheetId="2">Mar!$K$2:$K$6</definedName>
    <definedName name="ImportantDatesTable" localSheetId="4">May!$K$2:$K$6</definedName>
    <definedName name="ImportantDatesTable" localSheetId="10">Nov!$K$3:$K$6</definedName>
    <definedName name="ImportantDatesTable" localSheetId="9">Oct!$K$2:$K$6</definedName>
    <definedName name="ImportantDatesTable" localSheetId="8">Sep!$K$3:$K$6</definedName>
    <definedName name="ImportantDatesTable">Jan!$K$2:$K$6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TitleRegion2..I31.1">Jan!$A$11</definedName>
    <definedName name="TitleRegion2..I31.10">Oct!$A$11</definedName>
    <definedName name="TitleRegion2..I31.11">Nov!$A$11</definedName>
    <definedName name="TitleRegion2..I31.12">Dec!$A$11</definedName>
    <definedName name="TitleRegion2..I31.2">Feb!$A$11</definedName>
    <definedName name="TitleRegion2..I31.3">Mar!$A$11</definedName>
    <definedName name="TitleRegion2..I31.4">Apr!$A$11</definedName>
    <definedName name="TitleRegion2..I31.5">May!$A$11</definedName>
    <definedName name="TitleRegion2..I31.6">Jun!$A$11</definedName>
    <definedName name="TitleRegion2..I31.7">Jul!$A$11</definedName>
    <definedName name="TitleRegion2..I31.8">Aug!$A$11</definedName>
    <definedName name="TitleRegion2..I31.9">Sep!$A$11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3" l="1"/>
  <c r="I8" i="26" l="1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B1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B1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B1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H5" i="23"/>
  <c r="D5" i="23"/>
  <c r="G4" i="23"/>
  <c r="C4" i="23"/>
  <c r="F3" i="23"/>
  <c r="F8" i="23"/>
  <c r="H6" i="23"/>
  <c r="D6" i="23"/>
  <c r="F4" i="23"/>
  <c r="B1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B1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B1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B1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B1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B1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B1" i="17"/>
  <c r="B1" i="6" l="1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<sst xmlns="http://schemas.openxmlformats.org/spreadsheetml/2006/main" count="542" uniqueCount="64">
  <si>
    <t>JAN</t>
  </si>
  <si>
    <t>MON</t>
  </si>
  <si>
    <t>TUES</t>
  </si>
  <si>
    <t>WEEKLY SCHEDULE</t>
  </si>
  <si>
    <t>WED</t>
  </si>
  <si>
    <t>THURS</t>
  </si>
  <si>
    <t>FRI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</si>
  <si>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</si>
  <si>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</si>
  <si>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</si>
  <si>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</si>
  <si>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</si>
  <si>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</si>
  <si>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</si>
  <si>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</si>
  <si>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</si>
  <si>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</si>
  <si>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</si>
  <si>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</si>
  <si>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</si>
  <si>
    <t>SAT</t>
  </si>
  <si>
    <t>SUN</t>
  </si>
  <si>
    <t xml:space="preserve"> </t>
  </si>
  <si>
    <t>Time</t>
  </si>
  <si>
    <t>Class</t>
  </si>
  <si>
    <t>Weekday</t>
  </si>
  <si>
    <t>Notes</t>
  </si>
  <si>
    <t>Week 1</t>
  </si>
  <si>
    <t>Week 2</t>
  </si>
  <si>
    <t>Week 3</t>
  </si>
  <si>
    <t>Week 4</t>
  </si>
  <si>
    <t xml:space="preserve">WEEK  </t>
  </si>
  <si>
    <t xml:space="preserve">WEEK   </t>
  </si>
  <si>
    <t>WEEK</t>
  </si>
  <si>
    <t xml:space="preserve">WEEK </t>
  </si>
  <si>
    <t>Change calendar year in January tab.</t>
  </si>
  <si>
    <t xml:space="preserve">Week 5 </t>
  </si>
  <si>
    <t>Week 5</t>
  </si>
  <si>
    <t>Registration for Give Local opens</t>
  </si>
  <si>
    <t>Create updates on how Give Local funding has been used thus far; send update with photos, videos, and/or testimonies to the Community Foundation</t>
  </si>
  <si>
    <t>Can post updates on website or Social Media as well</t>
  </si>
  <si>
    <t>1</t>
  </si>
  <si>
    <t>Change calendar year by selecting cell on the left</t>
  </si>
  <si>
    <t>Registration for Give Local ends</t>
  </si>
  <si>
    <t>Give Local Platform Walk-through (Webinar) - 10:00 - 11:30 AM</t>
  </si>
  <si>
    <t>2020 Fundraising Plan…Now What? (Webinar) 11:00 AM - 12:30 PM</t>
  </si>
  <si>
    <t>Registration approvals begin</t>
  </si>
  <si>
    <t>Give Local Platform Walk-through (Webinar) 4:30 - 6:00 PM</t>
  </si>
  <si>
    <t>Best Practices for Fundraising Campaigns (Webinar) 1:30 - 3:00 PM</t>
  </si>
  <si>
    <t>Activating Our Stories and Campaigns on Social Media (Webinar) 10:00 - 11:30 AM</t>
  </si>
  <si>
    <t>Creating an Effective Content Marketing Strategy (Webinar) 3:00 - 4:30 PM</t>
  </si>
  <si>
    <t>Give Local: How to make the most of this opportunity (Webinar) 11:00 - 12:30 PM</t>
  </si>
  <si>
    <t>Give Local Platform Walk-through (Webinar) 1:00 - 2:30 PM</t>
  </si>
  <si>
    <t>How to Create Compelling Social Media Graphics: An introduction to Canva (Webinar) 1:00 - 2:30 PM</t>
  </si>
  <si>
    <t>Give Local Platform Walk-through (Webinar) 9:00 - 10:30 AM</t>
  </si>
  <si>
    <t>Top 10 Organic Social Media Strategies (Webinar) 9:00 - 10:30 AM</t>
  </si>
  <si>
    <t>Stripe Account sign up and registration fee due</t>
  </si>
  <si>
    <t>Story submission due</t>
  </si>
  <si>
    <t>Early Giving begins</t>
  </si>
  <si>
    <t>Give Local begins</t>
  </si>
  <si>
    <t>Give Local Ends</t>
  </si>
  <si>
    <t>Giving Wednesday</t>
  </si>
  <si>
    <t>Bonus Fund Checks are mailed</t>
  </si>
  <si>
    <t>Story submission due if feedback is desired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</si>
</sst>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mmmmm;@"/>
  </numFmts>
  <fonts count="3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4"/>
      <name val="Arial"/>
      <family val="2"/>
      <scheme val="minor"/>
    </font>
    <font>
      <b/>
      <sz val="14"/>
      <color theme="0"/>
      <name val="Arial"/>
      <family val="2"/>
      <scheme val="minor"/>
    </font>
    <font>
      <sz val="14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i/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"/>
      <color theme="0"/>
      <name val="Lato"/>
      <family val="2"/>
    </font>
    <font>
      <sz val="14"/>
      <color theme="0"/>
      <name val="Arial"/>
      <family val="2"/>
      <scheme val="minor"/>
    </font>
    <font>
      <b/>
      <sz val="14"/>
      <color rgb="FF08373A"/>
      <name val="Arial"/>
      <family val="2"/>
      <scheme val="major"/>
    </font>
    <font>
      <b/>
      <sz val="12"/>
      <color rgb="FF08373A"/>
      <name val="Arial"/>
      <family val="2"/>
      <scheme val="minor"/>
    </font>
    <font>
      <sz val="14"/>
      <color rgb="FF08373A"/>
      <name val="Arial"/>
      <family val="2"/>
      <scheme val="minor"/>
    </font>
    <font>
      <b/>
      <sz val="14"/>
      <color rgb="FF08373A"/>
      <name val="Arial"/>
      <family val="2"/>
      <scheme val="minor"/>
    </font>
    <font>
      <b/>
      <sz val="24"/>
      <color rgb="FF08373A"/>
      <name val="Arial"/>
      <family val="2"/>
      <scheme val="minor"/>
    </font>
    <font>
      <sz val="12"/>
      <color rgb="FF08373A"/>
      <name val="Arial"/>
      <family val="2"/>
      <scheme val="minor"/>
    </font>
    <font>
      <sz val="11"/>
      <color rgb="FF08373A"/>
      <name val="Arial"/>
      <family val="2"/>
      <scheme val="minor"/>
    </font>
    <font>
      <b/>
      <sz val="24"/>
      <color rgb="FF08373A"/>
      <name val="Arial"/>
      <family val="2"/>
      <scheme val="major"/>
    </font>
    <font>
      <b/>
      <sz val="12"/>
      <color theme="1" tint="0.249977111117893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u/>
      <sz val="12"/>
      <color theme="10"/>
      <name val="Arial"/>
      <family val="2"/>
      <scheme val="minor"/>
    </font>
    <font>
      <sz val="12"/>
      <color rgb="FF0000FF"/>
      <name val="Arial"/>
      <family val="2"/>
      <scheme val="minor"/>
    </font>
    <font>
      <b/>
      <sz val="12"/>
      <color rgb="FF0000FF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BC6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0948B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499984740745262"/>
      </left>
      <right/>
      <top/>
      <bottom style="thin">
        <color indexed="64"/>
      </bottom>
      <diagonal/>
    </border>
  </borders>
  <cellStyleXfs count="23">
    <xf numFmtId="0" fontId="0" fillId="0" borderId="0">
      <alignment wrapText="1"/>
    </xf>
    <xf numFmtId="0" fontId="12" fillId="0" borderId="0" applyFill="0" applyBorder="0" applyProtection="0">
      <alignment horizontal="center" vertical="center"/>
    </xf>
    <xf numFmtId="165" fontId="6" fillId="0" borderId="0" applyFill="0" applyBorder="0" applyProtection="0">
      <alignment horizontal="center" vertical="center"/>
    </xf>
    <xf numFmtId="0" fontId="7" fillId="0" borderId="0" applyFill="0" applyProtection="0">
      <alignment horizontal="left" vertical="center" indent="2"/>
    </xf>
    <xf numFmtId="0" fontId="8" fillId="0" borderId="0" applyNumberFormat="0" applyFill="0" applyBorder="0" applyProtection="0">
      <alignment horizontal="left" vertical="center"/>
    </xf>
    <xf numFmtId="0" fontId="8" fillId="0" borderId="0" applyFill="0" applyBorder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4" fillId="3" borderId="5" applyNumberFormat="0" applyAlignment="0" applyProtection="0"/>
    <xf numFmtId="0" fontId="5" fillId="4" borderId="1">
      <alignment horizontal="left" indent="1"/>
    </xf>
    <xf numFmtId="0" fontId="9" fillId="0" borderId="0">
      <alignment vertical="center"/>
    </xf>
    <xf numFmtId="0" fontId="9" fillId="0" borderId="6" applyNumberFormat="0" applyFont="0" applyFill="0" applyAlignment="0" applyProtection="0">
      <alignment horizontal="left" vertical="center" indent="2"/>
    </xf>
    <xf numFmtId="1" fontId="10" fillId="0" borderId="0" applyFill="0" applyBorder="0">
      <alignment horizontal="center"/>
    </xf>
    <xf numFmtId="0" fontId="13" fillId="0" borderId="7" applyNumberFormat="0" applyFont="0" applyFill="0" applyAlignment="0" applyProtection="0">
      <alignment horizontal="center"/>
    </xf>
    <xf numFmtId="0" fontId="13" fillId="0" borderId="9" applyNumberFormat="0" applyFont="0" applyFill="0" applyAlignment="0" applyProtection="0"/>
    <xf numFmtId="164" fontId="3" fillId="0" borderId="0" applyNumberFormat="0" applyFill="0" applyBorder="0">
      <alignment horizontal="left" vertical="center" indent="1"/>
    </xf>
    <xf numFmtId="0" fontId="13" fillId="2" borderId="0" applyFont="0" applyBorder="0">
      <alignment horizontal="left" vertical="top" indent="1"/>
    </xf>
    <xf numFmtId="0" fontId="5" fillId="0" borderId="0" applyNumberFormat="0" applyFill="0" applyBorder="0" applyAlignment="0">
      <alignment wrapText="1"/>
    </xf>
    <xf numFmtId="20" fontId="13" fillId="2" borderId="0" applyFill="0" applyBorder="0">
      <alignment horizontal="left" indent="1"/>
    </xf>
    <xf numFmtId="0" fontId="15" fillId="0" borderId="0" applyNumberFormat="0" applyFill="0" applyBorder="0" applyAlignment="0" applyProtection="0">
      <alignment wrapText="1"/>
    </xf>
  </cellStyleXfs>
  <cellXfs count="136">
    <xf numFmtId="0" fontId="0" fillId="0" borderId="0" xfId="0">
      <alignment wrapText="1"/>
    </xf>
    <xf numFmtId="0" fontId="0" fillId="0" borderId="0" xfId="0" applyFont="1">
      <alignment wrapText="1"/>
    </xf>
    <xf numFmtId="0" fontId="8" fillId="0" borderId="6" xfId="14" applyFont="1" applyAlignment="1">
      <alignment vertical="center"/>
    </xf>
    <xf numFmtId="0" fontId="0" fillId="0" borderId="0" xfId="14" applyFont="1" applyBorder="1" applyAlignment="1">
      <alignment wrapText="1"/>
    </xf>
    <xf numFmtId="0" fontId="0" fillId="0" borderId="9" xfId="17" applyFont="1" applyAlignment="1">
      <alignment wrapText="1"/>
    </xf>
    <xf numFmtId="0" fontId="0" fillId="0" borderId="0" xfId="0">
      <alignment wrapText="1"/>
    </xf>
    <xf numFmtId="0" fontId="0" fillId="0" borderId="7" xfId="16" applyFont="1" applyAlignment="1">
      <alignment wrapText="1"/>
    </xf>
    <xf numFmtId="20" fontId="13" fillId="2" borderId="0" xfId="21">
      <alignment horizontal="left" indent="1"/>
    </xf>
    <xf numFmtId="20" fontId="13" fillId="2" borderId="3" xfId="21" applyBorder="1">
      <alignment horizontal="left" indent="1"/>
    </xf>
    <xf numFmtId="20" fontId="13" fillId="2" borderId="4" xfId="21" applyBorder="1">
      <alignment horizontal="left" indent="1"/>
    </xf>
    <xf numFmtId="0" fontId="5" fillId="0" borderId="9" xfId="20" applyBorder="1" applyAlignment="1">
      <alignment wrapText="1"/>
    </xf>
    <xf numFmtId="0" fontId="0" fillId="2" borderId="0" xfId="19" applyFont="1">
      <alignment horizontal="left" vertical="top" indent="1"/>
    </xf>
    <xf numFmtId="0" fontId="1" fillId="2" borderId="9" xfId="19" applyFont="1" applyBorder="1">
      <alignment horizontal="left" vertical="top" indent="1"/>
    </xf>
    <xf numFmtId="0" fontId="11" fillId="2" borderId="9" xfId="19" applyFont="1" applyBorder="1">
      <alignment horizontal="left" vertical="top" indent="1"/>
    </xf>
    <xf numFmtId="0" fontId="0" fillId="2" borderId="7" xfId="19" applyFont="1" applyBorder="1">
      <alignment horizontal="left" vertical="top" indent="1"/>
    </xf>
    <xf numFmtId="0" fontId="1" fillId="2" borderId="7" xfId="19" applyFont="1" applyBorder="1">
      <alignment horizontal="left" vertical="top" indent="1"/>
    </xf>
    <xf numFmtId="20" fontId="13" fillId="2" borderId="9" xfId="21" applyBorder="1">
      <alignment horizontal="left" indent="1"/>
    </xf>
    <xf numFmtId="0" fontId="1" fillId="2" borderId="0" xfId="19" applyFont="1">
      <alignment horizontal="left" vertical="top" indent="1"/>
    </xf>
    <xf numFmtId="0" fontId="11" fillId="2" borderId="0" xfId="19" applyFont="1">
      <alignment horizontal="left" vertical="top" indent="1"/>
    </xf>
    <xf numFmtId="0" fontId="13" fillId="2" borderId="7" xfId="19" applyBorder="1">
      <alignment horizontal="left" vertical="top" indent="1"/>
    </xf>
    <xf numFmtId="0" fontId="0" fillId="2" borderId="7" xfId="16" applyFont="1" applyFill="1" applyAlignment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0" fontId="14" fillId="0" borderId="0" xfId="5" applyFont="1"/>
    <xf numFmtId="0" fontId="13" fillId="0" borderId="0" xfId="0" applyFont="1">
      <alignment wrapText="1"/>
    </xf>
    <xf numFmtId="0" fontId="16" fillId="0" borderId="0" xfId="5" applyFont="1"/>
    <xf numFmtId="0" fontId="16" fillId="0" borderId="7" xfId="16" applyFont="1" applyAlignment="1"/>
    <xf numFmtId="0" fontId="18" fillId="0" borderId="0" xfId="0" applyFont="1">
      <alignment wrapText="1"/>
    </xf>
    <xf numFmtId="0" fontId="16" fillId="0" borderId="7" xfId="5" applyFont="1" applyBorder="1"/>
    <xf numFmtId="0" fontId="16" fillId="0" borderId="0" xfId="5" applyFont="1" applyFill="1"/>
    <xf numFmtId="0" fontId="20" fillId="0" borderId="0" xfId="0" applyFont="1">
      <alignment wrapText="1"/>
    </xf>
    <xf numFmtId="0" fontId="23" fillId="0" borderId="0" xfId="0" applyFont="1">
      <alignment wrapText="1"/>
    </xf>
    <xf numFmtId="0" fontId="22" fillId="10" borderId="0" xfId="3" applyFont="1" applyFill="1" applyAlignment="1">
      <alignment horizontal="left" indent="2"/>
    </xf>
    <xf numFmtId="0" fontId="23" fillId="0" borderId="0" xfId="0" applyFont="1" applyAlignment="1">
      <alignment wrapText="1"/>
    </xf>
    <xf numFmtId="0" fontId="17" fillId="0" borderId="0" xfId="3" applyFont="1" applyAlignment="1">
      <alignment horizontal="left"/>
    </xf>
    <xf numFmtId="0" fontId="13" fillId="11" borderId="1" xfId="12" applyFont="1" applyFill="1">
      <alignment horizontal="left" indent="1"/>
    </xf>
    <xf numFmtId="0" fontId="13" fillId="11" borderId="9" xfId="17" applyFont="1" applyFill="1" applyAlignment="1">
      <alignment horizontal="left" indent="1"/>
    </xf>
    <xf numFmtId="0" fontId="24" fillId="0" borderId="7" xfId="1" applyFont="1" applyFill="1" applyBorder="1" applyAlignment="1">
      <alignment horizontal="center"/>
    </xf>
    <xf numFmtId="0" fontId="26" fillId="0" borderId="0" xfId="20" applyFont="1">
      <alignment wrapText="1"/>
    </xf>
    <xf numFmtId="165" fontId="28" fillId="0" borderId="0" xfId="2" applyFont="1">
      <alignment horizontal="center" vertical="center"/>
    </xf>
    <xf numFmtId="0" fontId="27" fillId="6" borderId="0" xfId="5" applyFont="1" applyFill="1"/>
    <xf numFmtId="0" fontId="27" fillId="5" borderId="0" xfId="5" applyFont="1" applyFill="1"/>
    <xf numFmtId="0" fontId="27" fillId="7" borderId="0" xfId="5" applyFont="1" applyFill="1"/>
    <xf numFmtId="0" fontId="27" fillId="8" borderId="0" xfId="5" applyFont="1" applyFill="1"/>
    <xf numFmtId="0" fontId="27" fillId="9" borderId="0" xfId="5" applyFont="1" applyFill="1"/>
    <xf numFmtId="164" fontId="29" fillId="0" borderId="0" xfId="18" applyNumberFormat="1" applyFont="1" applyFill="1" applyBorder="1">
      <alignment horizontal="left" vertical="center" indent="1"/>
    </xf>
    <xf numFmtId="164" fontId="29" fillId="0" borderId="7" xfId="16" applyNumberFormat="1" applyFont="1" applyFill="1" applyAlignment="1">
      <alignment horizontal="left" vertical="center" indent="1"/>
    </xf>
    <xf numFmtId="0" fontId="30" fillId="11" borderId="1" xfId="12" applyFont="1" applyFill="1">
      <alignment horizontal="left" indent="1"/>
    </xf>
    <xf numFmtId="0" fontId="30" fillId="11" borderId="9" xfId="17" applyFont="1" applyFill="1" applyAlignment="1">
      <alignment horizontal="left" indent="1"/>
    </xf>
    <xf numFmtId="0" fontId="27" fillId="0" borderId="0" xfId="4" applyFont="1">
      <alignment horizontal="left" vertical="center"/>
    </xf>
    <xf numFmtId="0" fontId="27" fillId="0" borderId="11" xfId="4" applyFont="1" applyBorder="1">
      <alignment horizontal="left" vertical="center"/>
    </xf>
    <xf numFmtId="0" fontId="26" fillId="0" borderId="0" xfId="0" applyFont="1" applyAlignment="1">
      <alignment wrapText="1"/>
    </xf>
    <xf numFmtId="0" fontId="24" fillId="0" borderId="0" xfId="1" applyFont="1" applyAlignment="1">
      <alignment horizontal="center"/>
    </xf>
    <xf numFmtId="0" fontId="26" fillId="0" borderId="0" xfId="20" applyFont="1" applyAlignment="1">
      <alignment wrapText="1"/>
    </xf>
    <xf numFmtId="0" fontId="27" fillId="0" borderId="0" xfId="3" applyFont="1" applyAlignment="1">
      <alignment horizontal="left"/>
    </xf>
    <xf numFmtId="0" fontId="27" fillId="0" borderId="0" xfId="5" applyFont="1"/>
    <xf numFmtId="0" fontId="27" fillId="0" borderId="7" xfId="5" applyFont="1" applyBorder="1"/>
    <xf numFmtId="0" fontId="30" fillId="0" borderId="0" xfId="14" applyFont="1" applyBorder="1" applyAlignment="1">
      <alignment wrapText="1"/>
    </xf>
    <xf numFmtId="0" fontId="31" fillId="0" borderId="6" xfId="1" applyFont="1" applyBorder="1">
      <alignment horizontal="center" vertical="center"/>
    </xf>
    <xf numFmtId="0" fontId="30" fillId="0" borderId="0" xfId="0" applyFont="1">
      <alignment wrapText="1"/>
    </xf>
    <xf numFmtId="0" fontId="30" fillId="0" borderId="7" xfId="16" applyFont="1" applyAlignment="1">
      <alignment wrapText="1"/>
    </xf>
    <xf numFmtId="165" fontId="28" fillId="0" borderId="6" xfId="2" applyFont="1" applyBorder="1">
      <alignment horizontal="center" vertical="center"/>
    </xf>
    <xf numFmtId="0" fontId="27" fillId="0" borderId="7" xfId="16" applyFont="1" applyAlignment="1"/>
    <xf numFmtId="165" fontId="28" fillId="0" borderId="6" xfId="14" applyNumberFormat="1" applyFont="1" applyAlignment="1">
      <alignment horizontal="center" vertical="center"/>
    </xf>
    <xf numFmtId="20" fontId="30" fillId="2" borderId="0" xfId="21" applyFont="1">
      <alignment horizontal="left" indent="1"/>
    </xf>
    <xf numFmtId="20" fontId="30" fillId="2" borderId="3" xfId="21" applyFont="1" applyBorder="1">
      <alignment horizontal="left" indent="1"/>
    </xf>
    <xf numFmtId="0" fontId="27" fillId="7" borderId="6" xfId="5" applyFont="1" applyFill="1" applyBorder="1"/>
    <xf numFmtId="20" fontId="26" fillId="0" borderId="7" xfId="16" applyNumberFormat="1" applyFont="1" applyFill="1" applyAlignment="1">
      <alignment horizontal="left" indent="1"/>
    </xf>
    <xf numFmtId="0" fontId="26" fillId="0" borderId="0" xfId="0" applyFont="1">
      <alignment wrapText="1"/>
    </xf>
    <xf numFmtId="0" fontId="25" fillId="0" borderId="6" xfId="14" applyFont="1" applyAlignment="1">
      <alignment vertical="center"/>
    </xf>
    <xf numFmtId="0" fontId="25" fillId="6" borderId="0" xfId="5" applyFont="1" applyFill="1"/>
    <xf numFmtId="0" fontId="25" fillId="0" borderId="0" xfId="5" applyFont="1"/>
    <xf numFmtId="0" fontId="25" fillId="0" borderId="7" xfId="5" applyFont="1" applyBorder="1"/>
    <xf numFmtId="0" fontId="25" fillId="5" borderId="0" xfId="5" applyFont="1" applyFill="1"/>
    <xf numFmtId="0" fontId="25" fillId="7" borderId="0" xfId="5" applyFont="1" applyFill="1"/>
    <xf numFmtId="0" fontId="25" fillId="8" borderId="0" xfId="5" applyFont="1" applyFill="1"/>
    <xf numFmtId="16" fontId="25" fillId="0" borderId="0" xfId="5" applyNumberFormat="1" applyFont="1"/>
    <xf numFmtId="0" fontId="25" fillId="9" borderId="0" xfId="5" applyFont="1" applyFill="1"/>
    <xf numFmtId="16" fontId="27" fillId="0" borderId="0" xfId="5" applyNumberFormat="1" applyFont="1"/>
    <xf numFmtId="0" fontId="27" fillId="9" borderId="0" xfId="5" applyFont="1" applyFill="1" applyAlignment="1"/>
    <xf numFmtId="0" fontId="27" fillId="0" borderId="0" xfId="4" applyFont="1" applyFill="1">
      <alignment horizontal="left" vertical="center"/>
    </xf>
    <xf numFmtId="0" fontId="30" fillId="0" borderId="0" xfId="14" applyFont="1" applyFill="1" applyBorder="1" applyAlignment="1">
      <alignment wrapText="1"/>
    </xf>
    <xf numFmtId="16" fontId="27" fillId="12" borderId="0" xfId="5" applyNumberFormat="1" applyFont="1" applyFill="1"/>
    <xf numFmtId="16" fontId="27" fillId="13" borderId="0" xfId="5" applyNumberFormat="1" applyFont="1" applyFill="1"/>
    <xf numFmtId="164" fontId="29" fillId="13" borderId="0" xfId="18" applyNumberFormat="1" applyFont="1" applyFill="1" applyBorder="1">
      <alignment horizontal="left" vertical="center" indent="1"/>
    </xf>
    <xf numFmtId="0" fontId="19" fillId="0" borderId="0" xfId="0" applyFont="1" applyFill="1">
      <alignment wrapText="1"/>
    </xf>
    <xf numFmtId="16" fontId="25" fillId="12" borderId="0" xfId="5" applyNumberFormat="1" applyFont="1" applyFill="1"/>
    <xf numFmtId="0" fontId="21" fillId="0" borderId="0" xfId="0" applyFont="1" applyFill="1">
      <alignment wrapText="1"/>
    </xf>
    <xf numFmtId="0" fontId="20" fillId="0" borderId="0" xfId="0" applyFont="1" applyFill="1">
      <alignment wrapText="1"/>
    </xf>
    <xf numFmtId="16" fontId="27" fillId="14" borderId="0" xfId="5" applyNumberFormat="1" applyFont="1" applyFill="1"/>
    <xf numFmtId="16" fontId="27" fillId="15" borderId="0" xfId="5" applyNumberFormat="1" applyFont="1" applyFill="1"/>
    <xf numFmtId="164" fontId="29" fillId="15" borderId="0" xfId="18" applyNumberFormat="1" applyFont="1" applyFill="1" applyBorder="1">
      <alignment horizontal="left" vertical="center" indent="1"/>
    </xf>
    <xf numFmtId="16" fontId="27" fillId="16" borderId="0" xfId="5" applyNumberFormat="1" applyFont="1" applyFill="1"/>
    <xf numFmtId="164" fontId="29" fillId="16" borderId="0" xfId="18" applyNumberFormat="1" applyFont="1" applyFill="1" applyBorder="1">
      <alignment horizontal="left" vertical="center" indent="1"/>
    </xf>
    <xf numFmtId="0" fontId="21" fillId="15" borderId="0" xfId="0" applyFont="1" applyFill="1">
      <alignment wrapText="1"/>
    </xf>
    <xf numFmtId="0" fontId="21" fillId="16" borderId="0" xfId="0" applyFont="1" applyFill="1">
      <alignment wrapText="1"/>
    </xf>
    <xf numFmtId="0" fontId="21" fillId="0" borderId="7" xfId="16" applyFont="1" applyFill="1" applyAlignment="1">
      <alignment horizontal="left" wrapText="1"/>
    </xf>
    <xf numFmtId="0" fontId="21" fillId="13" borderId="0" xfId="0" applyFont="1" applyFill="1">
      <alignment wrapText="1"/>
    </xf>
    <xf numFmtId="0" fontId="32" fillId="0" borderId="7" xfId="16" applyFont="1" applyFill="1" applyAlignment="1">
      <alignment horizontal="left" wrapText="1"/>
    </xf>
    <xf numFmtId="164" fontId="32" fillId="0" borderId="0" xfId="0" applyNumberFormat="1" applyFont="1" applyFill="1" applyAlignment="1">
      <alignment horizontal="left" wrapText="1"/>
    </xf>
    <xf numFmtId="0" fontId="33" fillId="0" borderId="0" xfId="0" applyFo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7" xfId="16" applyFont="1" applyFill="1" applyAlignment="1">
      <alignment wrapText="1"/>
    </xf>
    <xf numFmtId="0" fontId="21" fillId="0" borderId="0" xfId="0" applyFont="1">
      <alignment wrapText="1"/>
    </xf>
    <xf numFmtId="0" fontId="21" fillId="0" borderId="7" xfId="16" applyFont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7" xfId="16" applyFont="1" applyAlignment="1">
      <alignment horizontal="left" wrapText="1"/>
    </xf>
    <xf numFmtId="0" fontId="34" fillId="0" borderId="0" xfId="0" applyFont="1">
      <alignment wrapText="1"/>
    </xf>
    <xf numFmtId="0" fontId="10" fillId="0" borderId="0" xfId="0" applyFont="1">
      <alignment wrapText="1"/>
    </xf>
    <xf numFmtId="0" fontId="32" fillId="0" borderId="7" xfId="16" applyFont="1" applyAlignment="1">
      <alignment horizontal="left" wrapText="1"/>
    </xf>
    <xf numFmtId="20" fontId="14" fillId="0" borderId="7" xfId="16" applyNumberFormat="1" applyFont="1" applyFill="1" applyAlignment="1">
      <alignment horizontal="left" indent="1"/>
    </xf>
    <xf numFmtId="0" fontId="35" fillId="0" borderId="0" xfId="22" applyFont="1" applyFill="1">
      <alignment wrapText="1"/>
    </xf>
    <xf numFmtId="0" fontId="29" fillId="11" borderId="6" xfId="14" applyNumberFormat="1" applyFont="1" applyFill="1" applyAlignment="1">
      <alignment horizontal="left" vertical="center" indent="1"/>
    </xf>
    <xf numFmtId="0" fontId="25" fillId="0" borderId="7" xfId="13" applyFont="1" applyBorder="1" applyAlignment="1">
      <alignment horizontal="left" wrapText="1"/>
    </xf>
    <xf numFmtId="0" fontId="30" fillId="11" borderId="8" xfId="12" applyFont="1" applyFill="1" applyBorder="1">
      <alignment horizontal="left" indent="1"/>
    </xf>
    <xf numFmtId="0" fontId="30" fillId="11" borderId="2" xfId="12" applyFont="1" applyFill="1" applyBorder="1">
      <alignment horizontal="left" indent="1"/>
    </xf>
    <xf numFmtId="20" fontId="13" fillId="2" borderId="10" xfId="21" applyBorder="1">
      <alignment horizontal="left" indent="1"/>
    </xf>
    <xf numFmtId="0" fontId="1" fillId="2" borderId="0" xfId="19" applyFont="1">
      <alignment horizontal="left" vertical="top" indent="1"/>
    </xf>
    <xf numFmtId="0" fontId="1" fillId="2" borderId="7" xfId="19" applyFont="1" applyBorder="1">
      <alignment horizontal="left" vertical="top" indent="1"/>
    </xf>
    <xf numFmtId="20" fontId="13" fillId="2" borderId="0" xfId="21">
      <alignment horizontal="left" indent="1"/>
    </xf>
    <xf numFmtId="0" fontId="27" fillId="0" borderId="7" xfId="13" applyFont="1" applyBorder="1" applyAlignment="1">
      <alignment horizontal="left" wrapText="1"/>
    </xf>
    <xf numFmtId="0" fontId="13" fillId="2" borderId="7" xfId="19" applyBorder="1">
      <alignment horizontal="left" vertical="top" indent="1"/>
    </xf>
    <xf numFmtId="0" fontId="27" fillId="0" borderId="7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20" fontId="30" fillId="2" borderId="10" xfId="21" applyFont="1" applyBorder="1">
      <alignment horizontal="left" indent="1"/>
    </xf>
    <xf numFmtId="0" fontId="13" fillId="11" borderId="8" xfId="12" applyFont="1" applyFill="1" applyBorder="1">
      <alignment horizontal="left" indent="1"/>
    </xf>
    <xf numFmtId="0" fontId="13" fillId="11" borderId="2" xfId="12" applyFont="1" applyFill="1" applyBorder="1">
      <alignment horizontal="left" indent="1"/>
    </xf>
    <xf numFmtId="0" fontId="1" fillId="2" borderId="7" xfId="16" applyFont="1" applyFill="1" applyAlignment="1">
      <alignment horizontal="left" vertical="top" indent="1"/>
    </xf>
    <xf numFmtId="16" fontId="27" fillId="0" borderId="0" xfId="5" applyNumberFormat="1" applyFont="1" applyFill="1"/>
    <xf numFmtId="0" fontId="37" fillId="12" borderId="0" xfId="22" applyFont="1" applyFill="1">
      <alignment wrapText="1"/>
    </xf>
    <xf numFmtId="164" fontId="36" fillId="12" borderId="0" xfId="22" applyNumberFormat="1" applyFont="1" applyFill="1" applyBorder="1" applyAlignment="1">
      <alignment horizontal="left" vertical="center" indent="1"/>
    </xf>
    <xf numFmtId="0" fontId="37" fillId="14" borderId="0" xfId="22" applyFont="1" applyFill="1">
      <alignment wrapText="1"/>
    </xf>
    <xf numFmtId="0" fontId="37" fillId="13" borderId="0" xfId="22" applyFont="1" applyFill="1">
      <alignment wrapText="1"/>
    </xf>
    <xf numFmtId="164" fontId="36" fillId="14" borderId="0" xfId="22" applyNumberFormat="1" applyFont="1" applyFill="1" applyBorder="1" applyAlignment="1">
      <alignment horizontal="left" vertical="center" indent="1"/>
    </xf>
    <xf numFmtId="164" fontId="36" fillId="13" borderId="0" xfId="22" applyNumberFormat="1" applyFont="1" applyFill="1" applyBorder="1" applyAlignment="1">
      <alignment horizontal="left" vertical="center" indent="1"/>
    </xf>
    <xf numFmtId="0" fontId="37" fillId="0" borderId="0" xfId="0" applyFont="1">
      <alignment wrapText="1"/>
    </xf>
    <xf numFmtId="164" fontId="36" fillId="0" borderId="0" xfId="18" applyNumberFormat="1" applyFont="1" applyFill="1" applyBorder="1">
      <alignment horizontal="left" vertical="center" indent="1"/>
    </xf>
  </cellXfs>
  <cellStyles count="23">
    <cellStyle name="Bottom Border" xfId="16" xr:uid="{00000000-0005-0000-0000-000000000000}"/>
    <cellStyle name="Calendar alignment" xfId="18" xr:uid="{00000000-0005-0000-0000-000001000000}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 xr:uid="{00000000-0005-0000-0000-000006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22" builtinId="8"/>
    <cellStyle name="Label" xfId="13" xr:uid="{00000000-0005-0000-0000-00000B000000}"/>
    <cellStyle name="Normal" xfId="0" builtinId="0" customBuiltin="1"/>
    <cellStyle name="Note" xfId="11" builtinId="10" customBuiltin="1"/>
    <cellStyle name="Percent" xfId="10" builtinId="5" customBuiltin="1"/>
    <cellStyle name="Right Border" xfId="17" xr:uid="{00000000-0005-0000-0000-00000F000000}"/>
    <cellStyle name="Table heading blank" xfId="20" xr:uid="{00000000-0005-0000-0000-000010000000}"/>
    <cellStyle name="Time" xfId="21" xr:uid="{00000000-0005-0000-0000-000011000000}"/>
    <cellStyle name="Title" xfId="1" builtinId="15" customBuiltin="1"/>
    <cellStyle name="Top Border" xfId="14" xr:uid="{00000000-0005-0000-0000-000013000000}"/>
    <cellStyle name="Weekdays" xfId="12" xr:uid="{00000000-0005-0000-0000-000014000000}"/>
    <cellStyle name="Weekly Schedule Fill" xfId="19" xr:uid="{00000000-0005-0000-0000-000015000000}"/>
  </cellStyles>
  <dxfs count="136"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</dxf>
    <dxf>
      <font>
        <strike val="0"/>
        <outline val="0"/>
        <shadow val="0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rgb="FF08373A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  <scheme val="minor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Arial"/>
        <family val="2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8373A"/>
        <name val="Arial"/>
        <family val="2"/>
      </font>
      <alignment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Arial"/>
        <family val="2"/>
        <scheme val="minor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Assignments" defaultPivotStyle="PivotStyleLight16">
    <tableStyle name="Assignments" pivot="0" count="3" xr9:uid="{00000000-0011-0000-FFFF-FFFF00000000}">
      <tableStyleElement type="wholeTable" dxfId="135"/>
      <tableStyleElement type="headerRow" dxfId="134"/>
      <tableStyleElement type="firstColumn" dxfId="133"/>
    </tableStyle>
  </tableStyles>
  <colors>
    <mruColors>
      <color rgb="FF0000FF"/>
      <color rgb="FFCC3300"/>
      <color rgb="FF08373A"/>
      <color rgb="FFEABC6B"/>
      <color rgb="FF10948B"/>
      <color rgb="FFA34B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849843</xdr:colOff>
      <xdr:row>0</xdr:row>
      <xdr:rowOff>0</xdr:rowOff>
    </xdr:from>
    <xdr:to>
      <xdr:col>10</xdr:col>
      <xdr:colOff>4216725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519989-61F2-417A-8B91-1526D61C5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09176" y="0"/>
          <a:ext cx="3366882" cy="13520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941917</xdr:colOff>
      <xdr:row>0</xdr:row>
      <xdr:rowOff>7056</xdr:rowOff>
    </xdr:from>
    <xdr:to>
      <xdr:col>10</xdr:col>
      <xdr:colOff>4315149</xdr:colOff>
      <xdr:row>1</xdr:row>
      <xdr:rowOff>216124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0C823D-1B75-42AF-9175-7DF8EEAD3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02473" y="7056"/>
          <a:ext cx="3373232" cy="13520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889000</xdr:colOff>
      <xdr:row>0</xdr:row>
      <xdr:rowOff>0</xdr:rowOff>
    </xdr:from>
    <xdr:to>
      <xdr:col>10</xdr:col>
      <xdr:colOff>4255882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7E9CCA-1466-4603-8236-C42780283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48333" y="0"/>
          <a:ext cx="3373232" cy="13520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920750</xdr:colOff>
      <xdr:row>0</xdr:row>
      <xdr:rowOff>0</xdr:rowOff>
    </xdr:from>
    <xdr:to>
      <xdr:col>10</xdr:col>
      <xdr:colOff>4297157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6F8480-9B8D-41D6-B34D-48B05E93B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80083" y="0"/>
          <a:ext cx="3373232" cy="1352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920750</xdr:colOff>
      <xdr:row>0</xdr:row>
      <xdr:rowOff>0</xdr:rowOff>
    </xdr:from>
    <xdr:to>
      <xdr:col>10</xdr:col>
      <xdr:colOff>4293982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A20B15-A1F9-4165-8E95-93DD4D620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80083" y="0"/>
          <a:ext cx="3373232" cy="1352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934509</xdr:colOff>
      <xdr:row>0</xdr:row>
      <xdr:rowOff>21167</xdr:rowOff>
    </xdr:from>
    <xdr:to>
      <xdr:col>10</xdr:col>
      <xdr:colOff>4298216</xdr:colOff>
      <xdr:row>1</xdr:row>
      <xdr:rowOff>230235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B20DE0-1A2F-499B-ADF4-305B77005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93842" y="21167"/>
          <a:ext cx="3366882" cy="13520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0</xdr:row>
      <xdr:rowOff>0</xdr:rowOff>
    </xdr:from>
    <xdr:to>
      <xdr:col>10</xdr:col>
      <xdr:colOff>4325732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0AD234-A5EE-4757-A7C7-EB396EC17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0011833" y="0"/>
          <a:ext cx="3373232" cy="13520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910167</xdr:colOff>
      <xdr:row>0</xdr:row>
      <xdr:rowOff>0</xdr:rowOff>
    </xdr:from>
    <xdr:to>
      <xdr:col>10</xdr:col>
      <xdr:colOff>4283399</xdr:colOff>
      <xdr:row>1</xdr:row>
      <xdr:rowOff>209068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C1B833-E7AA-4DE9-AAE7-6750A8B15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69500" y="0"/>
          <a:ext cx="3373232" cy="13520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899584</xdr:colOff>
      <xdr:row>0</xdr:row>
      <xdr:rowOff>0</xdr:rowOff>
    </xdr:from>
    <xdr:to>
      <xdr:col>10</xdr:col>
      <xdr:colOff>4275991</xdr:colOff>
      <xdr:row>1</xdr:row>
      <xdr:rowOff>209068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24E856-8E99-4EDC-B3A7-0327AEA50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58917" y="0"/>
          <a:ext cx="3373232" cy="13520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973667</xdr:colOff>
      <xdr:row>0</xdr:row>
      <xdr:rowOff>0</xdr:rowOff>
    </xdr:from>
    <xdr:to>
      <xdr:col>10</xdr:col>
      <xdr:colOff>4353249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AB7E7-7802-46B4-A259-442BADED3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0033000" y="0"/>
          <a:ext cx="3373232" cy="13520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931334</xdr:colOff>
      <xdr:row>0</xdr:row>
      <xdr:rowOff>0</xdr:rowOff>
    </xdr:from>
    <xdr:to>
      <xdr:col>10</xdr:col>
      <xdr:colOff>4304566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693C50-8DD2-4AFC-8FBB-8F947FA80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90667" y="0"/>
          <a:ext cx="3373232" cy="13520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899584</xdr:colOff>
      <xdr:row>0</xdr:row>
      <xdr:rowOff>0</xdr:rowOff>
    </xdr:from>
    <xdr:to>
      <xdr:col>10</xdr:col>
      <xdr:colOff>4275991</xdr:colOff>
      <xdr:row>1</xdr:row>
      <xdr:rowOff>209068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DC81BE-D4D4-42B6-9FD9-EA58ACBF6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958917" y="0"/>
          <a:ext cx="3373232" cy="13520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yAssignments" displayName="JanuaryAssignments" ref="J1:K31" totalsRowShown="0" headerRowDxfId="125" dataDxfId="124" headerRowCellStyle="Time">
  <autoFilter ref="J1:K31" xr:uid="{00000000-0009-0000-0100-000001000000}">
    <filterColumn colId="0" hiddenButton="1"/>
    <filterColumn colId="1" hiddenButton="1"/>
  </autoFilter>
  <tableColumns count="2">
    <tableColumn id="1" xr3:uid="{00000000-0010-0000-0000-000001000000}" name="WEEK  " dataDxfId="123" dataCellStyle="Heading 4"/>
    <tableColumn id="3" xr3:uid="{00000000-0010-0000-0000-000003000000}" name="1" dataDxfId="122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OctoberAssignments" displayName="OctoberAssignments" ref="J1:K31" totalsRowShown="0" headerRowDxfId="25" dataDxfId="24">
  <autoFilter ref="J1:K31" xr:uid="{00000000-0009-0000-0100-00000A000000}">
    <filterColumn colId="0" hiddenButton="1"/>
    <filterColumn colId="1" hiddenButton="1"/>
  </autoFilter>
  <tableColumns count="2">
    <tableColumn id="1" xr3:uid="{00000000-0010-0000-0900-000001000000}" name="WEEK  " dataDxfId="1" dataCellStyle="Heading 4"/>
    <tableColumn id="3" xr3:uid="{00000000-0010-0000-0900-000003000000}" name="Notes" dataDxfId="0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NovemberAssignments" displayName="NovemberAssignments" ref="J1:K31" totalsRowShown="0" headerRowDxfId="16" dataDxfId="15">
  <autoFilter ref="J1:K31" xr:uid="{00000000-0009-0000-0100-00000B000000}">
    <filterColumn colId="0" hiddenButton="1"/>
    <filterColumn colId="1" hiddenButton="1"/>
  </autoFilter>
  <tableColumns count="2">
    <tableColumn id="1" xr3:uid="{00000000-0010-0000-0A00-000001000000}" name="WEEK  " dataDxfId="14" dataCellStyle="Heading 4"/>
    <tableColumn id="3" xr3:uid="{00000000-0010-0000-0A00-000003000000}" name="Notes" dataDxfId="13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ecemberAssignments" displayName="DecemberAssignments" ref="J1:K31" totalsRowShown="0" headerRowDxfId="5" dataDxfId="4" dataCellStyle="Normal">
  <autoFilter ref="J1:K31" xr:uid="{00000000-0009-0000-0100-00000C000000}">
    <filterColumn colId="0" hiddenButton="1"/>
    <filterColumn colId="1" hiddenButton="1"/>
  </autoFilter>
  <tableColumns count="2">
    <tableColumn id="1" xr3:uid="{00000000-0010-0000-0B00-000001000000}" name="WEEK" dataDxfId="3" dataCellStyle="Heading 4"/>
    <tableColumn id="3" xr3:uid="{00000000-0010-0000-0B00-000003000000}" name="Notes" dataDxfId="2" dataCellStyle="Normal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yAssignments" displayName="FebruaryAssignments" ref="J1:K31" totalsRowShown="0" headerRowDxfId="114" dataDxfId="113">
  <autoFilter ref="J1:K31" xr:uid="{00000000-0009-0000-0100-000002000000}">
    <filterColumn colId="0" hiddenButton="1"/>
    <filterColumn colId="1" hiddenButton="1"/>
  </autoFilter>
  <tableColumns count="2">
    <tableColumn id="1" xr3:uid="{00000000-0010-0000-0100-000001000000}" name="WEEK   " dataDxfId="112" dataCellStyle="Heading 4"/>
    <tableColumn id="3" xr3:uid="{00000000-0010-0000-0100-000003000000}" name="Notes" dataDxfId="111" dataCellStyle="Normal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chrAssignments" displayName="MachrAssignments" ref="J1:K31" totalsRowShown="0" headerRowDxfId="103" dataDxfId="102">
  <autoFilter ref="J1:K31" xr:uid="{00000000-0009-0000-0100-000003000000}">
    <filterColumn colId="0" hiddenButton="1"/>
    <filterColumn colId="1" hiddenButton="1"/>
  </autoFilter>
  <tableColumns count="2">
    <tableColumn id="1" xr3:uid="{00000000-0010-0000-0200-000001000000}" name="WEEK   " dataDxfId="101" dataCellStyle="Heading 4"/>
    <tableColumn id="3" xr3:uid="{00000000-0010-0000-0200-000003000000}" name="Notes" dataDxfId="100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Assignments" displayName="AprilAssignments" ref="J1:K31" totalsRowShown="0" headerRowDxfId="92" dataDxfId="91">
  <autoFilter ref="J1:K31" xr:uid="{00000000-0009-0000-0100-000004000000}">
    <filterColumn colId="0" hiddenButton="1"/>
    <filterColumn colId="1" hiddenButton="1"/>
  </autoFilter>
  <tableColumns count="2">
    <tableColumn id="1" xr3:uid="{00000000-0010-0000-0300-000001000000}" name="WEEK" dataDxfId="90" dataCellStyle="Heading 4"/>
    <tableColumn id="3" xr3:uid="{00000000-0010-0000-0300-000003000000}" name="Notes" dataDxfId="89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yAssignments" displayName="MayAssignments" ref="J1:K31" totalsRowShown="0" headerRowDxfId="81" dataDxfId="80">
  <autoFilter ref="J1:K31" xr:uid="{00000000-0009-0000-0100-000005000000}">
    <filterColumn colId="0" hiddenButton="1"/>
    <filterColumn colId="1" hiddenButton="1"/>
  </autoFilter>
  <tableColumns count="2">
    <tableColumn id="1" xr3:uid="{00000000-0010-0000-0400-000001000000}" name="WEEK " dataDxfId="79" dataCellStyle="Heading 4"/>
    <tableColumn id="3" xr3:uid="{00000000-0010-0000-0400-000003000000}" name="Notes" dataDxfId="78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JuneAssignments" displayName="JuneAssignments" ref="J1:K31" totalsRowShown="0" headerRowDxfId="70" dataDxfId="69">
  <autoFilter ref="J1:K31" xr:uid="{00000000-0009-0000-0100-000006000000}">
    <filterColumn colId="0" hiddenButton="1"/>
    <filterColumn colId="1" hiddenButton="1"/>
  </autoFilter>
  <tableColumns count="2">
    <tableColumn id="1" xr3:uid="{00000000-0010-0000-0500-000001000000}" name="WEEK " dataDxfId="68" dataCellStyle="Heading 4"/>
    <tableColumn id="3" xr3:uid="{00000000-0010-0000-0500-000003000000}" name="Notes" dataDxfId="67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JulyAssignments" displayName="JulyAssignments" ref="J1:K31" totalsRowShown="0" headerRowDxfId="59" dataDxfId="58">
  <autoFilter ref="J1:K31" xr:uid="{00000000-0009-0000-0100-000007000000}">
    <filterColumn colId="0" hiddenButton="1"/>
    <filterColumn colId="1" hiddenButton="1"/>
  </autoFilter>
  <tableColumns count="2">
    <tableColumn id="1" xr3:uid="{00000000-0010-0000-0600-000001000000}" name="WEEK" dataDxfId="57" dataCellStyle="Heading 4"/>
    <tableColumn id="3" xr3:uid="{00000000-0010-0000-0600-000003000000}" name="Notes" dataDxfId="56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AugustAssignments" displayName="AugustAssignments" ref="J1:K31" totalsRowShown="0" headerRowDxfId="48">
  <autoFilter ref="J1:K31" xr:uid="{00000000-0009-0000-0100-000008000000}">
    <filterColumn colId="0" hiddenButton="1"/>
    <filterColumn colId="1" hiddenButton="1"/>
  </autoFilter>
  <tableColumns count="2">
    <tableColumn id="1" xr3:uid="{00000000-0010-0000-0700-000001000000}" name="WEEK" dataDxfId="47" dataCellStyle="Heading 4"/>
    <tableColumn id="3" xr3:uid="{00000000-0010-0000-0700-000003000000}" name="Notes" dataDxfId="46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ptemberAssignments" displayName="SeptemberAssignments" ref="J1:K31" totalsRowShown="0" headerRowDxfId="38" dataDxfId="37">
  <autoFilter ref="J1:K31" xr:uid="{00000000-0009-0000-0100-000009000000}">
    <filterColumn colId="0" hiddenButton="1"/>
    <filterColumn colId="1" hiddenButton="1"/>
  </autoFilter>
  <tableColumns count="2">
    <tableColumn id="1" xr3:uid="{00000000-0010-0000-0800-000001000000}" name="WEEK" dataDxfId="36" dataCellStyle="Heading 4"/>
    <tableColumn id="3" xr3:uid="{00000000-0010-0000-0800-000003000000}" name="Notes" dataDxfId="35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0.xml"/><Relationship Id="rId3" Type="http://schemas.openxmlformats.org/officeDocument/2006/relationships/hyperlink" Target="https://tcfsps.wufoo.com/forms/zvoftj11j18wiy/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tcfsps.wufoo.com/forms/zvoftj11j18wiy/" TargetMode="External"/><Relationship Id="rId1" Type="http://schemas.openxmlformats.org/officeDocument/2006/relationships/hyperlink" Target="https://tcfsps.wufoo.com/forms/z4jzmf810s7kiu/" TargetMode="External"/><Relationship Id="rId6" Type="http://schemas.openxmlformats.org/officeDocument/2006/relationships/hyperlink" Target="https://tcfsps.wufoo.com/forms/z4jzmf810s7kiu/" TargetMode="External"/><Relationship Id="rId5" Type="http://schemas.openxmlformats.org/officeDocument/2006/relationships/hyperlink" Target="https://tcfsps.wufoo.com/forms/zrjnnzg19kcgmm/" TargetMode="External"/><Relationship Id="rId4" Type="http://schemas.openxmlformats.org/officeDocument/2006/relationships/hyperlink" Target="https://tcfsps.wufoo.com/forms/zrjnnzg19kcgmm/" TargetMode="External"/><Relationship Id="rId9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tcfsps.wufoo.com/forms/z1lsdu3p14aqitu/" TargetMode="External"/><Relationship Id="rId7" Type="http://schemas.openxmlformats.org/officeDocument/2006/relationships/table" Target="../tables/table7.xml"/><Relationship Id="rId2" Type="http://schemas.openxmlformats.org/officeDocument/2006/relationships/hyperlink" Target="https://tcfsps.wufoo.com/forms/z4jzmf810s7kiu/" TargetMode="External"/><Relationship Id="rId1" Type="http://schemas.openxmlformats.org/officeDocument/2006/relationships/hyperlink" Target="https://tcfsps.wufoo.com/forms/z4jzmf810s7kiu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tcfsps.wufoo.com/forms/z1lsdu3p14aqitu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cfsps.wufoo.com/forms/z1yiw8p80nehv2a/" TargetMode="External"/><Relationship Id="rId13" Type="http://schemas.openxmlformats.org/officeDocument/2006/relationships/table" Target="../tables/table8.xml"/><Relationship Id="rId3" Type="http://schemas.openxmlformats.org/officeDocument/2006/relationships/hyperlink" Target="https://tcfsps.wufoo.com/forms/zdn7uap0osrqh3/" TargetMode="External"/><Relationship Id="rId7" Type="http://schemas.openxmlformats.org/officeDocument/2006/relationships/hyperlink" Target="https://tcfsps.wufoo.com/forms/z1yiw8p80nehv2a/" TargetMode="External"/><Relationship Id="rId12" Type="http://schemas.openxmlformats.org/officeDocument/2006/relationships/drawing" Target="../drawings/drawing8.xml"/><Relationship Id="rId2" Type="http://schemas.openxmlformats.org/officeDocument/2006/relationships/hyperlink" Target="https://tcfsps.wufoo.com/forms/z4jzmf810s7kiu/" TargetMode="External"/><Relationship Id="rId1" Type="http://schemas.openxmlformats.org/officeDocument/2006/relationships/hyperlink" Target="https://tcfsps.wufoo.com/forms/z4jzmf810s7kiu/" TargetMode="External"/><Relationship Id="rId6" Type="http://schemas.openxmlformats.org/officeDocument/2006/relationships/hyperlink" Target="https://tcfsps.wufoo.com/forms/z1l8jx4n0qahszu/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s://tcfsps.wufoo.com/forms/z1l8jx4n0qahszu/" TargetMode="External"/><Relationship Id="rId10" Type="http://schemas.openxmlformats.org/officeDocument/2006/relationships/hyperlink" Target="https://tcfsps.wufoo.com/forms/z1k16v3i0jcdx70/" TargetMode="External"/><Relationship Id="rId4" Type="http://schemas.openxmlformats.org/officeDocument/2006/relationships/hyperlink" Target="https://tcfsps.wufoo.com/forms/zdn7uap0osrqh3/" TargetMode="External"/><Relationship Id="rId9" Type="http://schemas.openxmlformats.org/officeDocument/2006/relationships/hyperlink" Target="https://tcfsps.wufoo.com/forms/z1k16v3i0jcdx70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tcfsps.wufoo.com/forms/z116cou60ulwymb/" TargetMode="External"/><Relationship Id="rId7" Type="http://schemas.openxmlformats.org/officeDocument/2006/relationships/table" Target="../tables/table9.xml"/><Relationship Id="rId2" Type="http://schemas.openxmlformats.org/officeDocument/2006/relationships/hyperlink" Target="https://tcfsps.wufoo.com/forms/z4jzmf810s7kiu/" TargetMode="External"/><Relationship Id="rId1" Type="http://schemas.openxmlformats.org/officeDocument/2006/relationships/hyperlink" Target="https://tcfsps.wufoo.com/forms/z4jzmf810s7kiu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tcfsps.wufoo.com/forms/z116cou60ulwym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31"/>
  <sheetViews>
    <sheetView showGridLines="0" zoomScale="90" zoomScaleNormal="90" zoomScalePageLayoutView="84" workbookViewId="0">
      <selection activeCell="C2" sqref="C2:I2"/>
    </sheetView>
  </sheetViews>
  <sheetFormatPr defaultColWidth="8.58203125" defaultRowHeight="30" customHeight="1" x14ac:dyDescent="0.4"/>
  <cols>
    <col min="1" max="1" width="2.58203125" customWidth="1"/>
    <col min="2" max="2" width="20.58203125" customWidth="1"/>
    <col min="3" max="8" width="10.58203125" customWidth="1"/>
    <col min="9" max="9" width="20.58203125" customWidth="1"/>
    <col min="10" max="10" width="10.58203125" style="26" customWidth="1"/>
    <col min="11" max="11" width="70.58203125" style="99" customWidth="1"/>
    <col min="12" max="12" width="2.58203125" customWidth="1"/>
    <col min="13" max="13" width="8.58203125" customWidth="1"/>
  </cols>
  <sheetData>
    <row r="1" spans="1:11" s="30" customFormat="1" ht="90" customHeight="1" x14ac:dyDescent="0.4">
      <c r="B1" s="36">
        <v>2020</v>
      </c>
      <c r="C1" s="112" t="s">
        <v>42</v>
      </c>
      <c r="D1" s="112"/>
      <c r="E1" s="112"/>
      <c r="F1" s="112"/>
      <c r="G1" s="112"/>
      <c r="H1" s="112"/>
      <c r="I1" s="112"/>
      <c r="J1" s="37" t="s">
        <v>31</v>
      </c>
      <c r="K1" s="31" t="s">
        <v>41</v>
      </c>
    </row>
    <row r="2" spans="1:11" ht="30" customHeight="1" x14ac:dyDescent="0.4">
      <c r="A2" s="4"/>
      <c r="B2" s="38" t="s">
        <v>0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104"/>
    </row>
    <row r="3" spans="1:11" ht="30" customHeight="1" x14ac:dyDescent="0.4">
      <c r="A3" s="4"/>
      <c r="B3" s="5"/>
      <c r="C3" s="44">
        <f>IF(DAY(JanSun1)=1,JanSun1-6,JanSun1+1)</f>
        <v>43829</v>
      </c>
      <c r="D3" s="44">
        <f>IF(DAY(JanSun1)=1,JanSun1-5,JanSun1+2)</f>
        <v>43830</v>
      </c>
      <c r="E3" s="44">
        <f>IF(DAY(JanSun1)=1,JanSun1-4,JanSun1+3)</f>
        <v>43831</v>
      </c>
      <c r="F3" s="44">
        <f>IF(DAY(JanSun1)=1,JanSun1-3,JanSun1+4)</f>
        <v>43832</v>
      </c>
      <c r="G3" s="44">
        <f>IF(DAY(JanSun1)=1,JanSun1-2,JanSun1+5)</f>
        <v>43833</v>
      </c>
      <c r="H3" s="44">
        <f>IF(DAY(JanSun1)=1,JanSun1-1,JanSun1+6)</f>
        <v>43834</v>
      </c>
      <c r="I3" s="44">
        <f>IF(DAY(JanSun1)=1,JanSun1,JanSun1+7)</f>
        <v>43835</v>
      </c>
      <c r="J3" s="24"/>
      <c r="K3" s="104"/>
    </row>
    <row r="4" spans="1:11" ht="30" customHeight="1" x14ac:dyDescent="0.4">
      <c r="A4" s="4"/>
      <c r="B4" s="5"/>
      <c r="C4" s="44">
        <f>IF(DAY(JanSun1)=1,JanSun1+1,JanSun1+8)</f>
        <v>43836</v>
      </c>
      <c r="D4" s="44">
        <f>IF(DAY(JanSun1)=1,JanSun1+2,JanSun1+9)</f>
        <v>43837</v>
      </c>
      <c r="E4" s="44">
        <f>IF(DAY(JanSun1)=1,JanSun1+3,JanSun1+10)</f>
        <v>43838</v>
      </c>
      <c r="F4" s="44">
        <f>IF(DAY(JanSun1)=1,JanSun1+4,JanSun1+11)</f>
        <v>43839</v>
      </c>
      <c r="G4" s="44">
        <f>IF(DAY(JanSun1)=1,JanSun1+5,JanSun1+12)</f>
        <v>43840</v>
      </c>
      <c r="H4" s="44">
        <f>IF(DAY(JanSun1)=1,JanSun1+6,JanSun1+13)</f>
        <v>43841</v>
      </c>
      <c r="I4" s="44">
        <f>IF(DAY(JanSun1)=1,JanSun1+7,JanSun1+14)</f>
        <v>43842</v>
      </c>
      <c r="J4" s="24"/>
      <c r="K4" s="104"/>
    </row>
    <row r="5" spans="1:11" ht="30" customHeight="1" x14ac:dyDescent="0.4">
      <c r="A5" s="4"/>
      <c r="B5" s="5"/>
      <c r="C5" s="44">
        <f>IF(DAY(JanSun1)=1,JanSun1+8,JanSun1+15)</f>
        <v>43843</v>
      </c>
      <c r="D5" s="44">
        <f>IF(DAY(JanSun1)=1,JanSun1+9,JanSun1+16)</f>
        <v>43844</v>
      </c>
      <c r="E5" s="44">
        <f>IF(DAY(JanSun1)=1,JanSun1+10,JanSun1+17)</f>
        <v>43845</v>
      </c>
      <c r="F5" s="44">
        <f>IF(DAY(JanSun1)=1,JanSun1+11,JanSun1+18)</f>
        <v>43846</v>
      </c>
      <c r="G5" s="44">
        <f>IF(DAY(JanSun1)=1,JanSun1+12,JanSun1+19)</f>
        <v>43847</v>
      </c>
      <c r="H5" s="44">
        <f>IF(DAY(JanSun1)=1,JanSun1+13,JanSun1+20)</f>
        <v>43848</v>
      </c>
      <c r="I5" s="44">
        <f>IF(DAY(JanSun1)=1,JanSun1+14,JanSun1+21)</f>
        <v>43849</v>
      </c>
      <c r="J5" s="24"/>
      <c r="K5" s="104"/>
    </row>
    <row r="6" spans="1:11" ht="30" customHeight="1" x14ac:dyDescent="0.4">
      <c r="A6" s="4"/>
      <c r="B6" s="5"/>
      <c r="C6" s="44">
        <f>IF(DAY(JanSun1)=1,JanSun1+15,JanSun1+22)</f>
        <v>43850</v>
      </c>
      <c r="D6" s="44">
        <f>IF(DAY(JanSun1)=1,JanSun1+16,JanSun1+23)</f>
        <v>43851</v>
      </c>
      <c r="E6" s="44">
        <f>IF(DAY(JanSun1)=1,JanSun1+17,JanSun1+24)</f>
        <v>43852</v>
      </c>
      <c r="F6" s="44">
        <f>IF(DAY(JanSun1)=1,JanSun1+18,JanSun1+25)</f>
        <v>43853</v>
      </c>
      <c r="G6" s="44">
        <f>IF(DAY(JanSun1)=1,JanSun1+19,JanSun1+26)</f>
        <v>43854</v>
      </c>
      <c r="H6" s="44">
        <f>IF(DAY(JanSun1)=1,JanSun1+20,JanSun1+27)</f>
        <v>43855</v>
      </c>
      <c r="I6" s="44">
        <f>IF(DAY(JanSun1)=1,JanSun1+21,JanSun1+28)</f>
        <v>43856</v>
      </c>
      <c r="J6" s="24"/>
      <c r="K6" s="104"/>
    </row>
    <row r="7" spans="1:11" ht="30" customHeight="1" x14ac:dyDescent="0.4">
      <c r="A7" s="4"/>
      <c r="B7" s="5"/>
      <c r="C7" s="44">
        <f>IF(DAY(JanSun1)=1,JanSun1+22,JanSun1+29)</f>
        <v>43857</v>
      </c>
      <c r="D7" s="44">
        <f>IF(DAY(JanSun1)=1,JanSun1+23,JanSun1+30)</f>
        <v>43858</v>
      </c>
      <c r="E7" s="44">
        <f>IF(DAY(JanSun1)=1,JanSun1+24,JanSun1+31)</f>
        <v>43859</v>
      </c>
      <c r="F7" s="44">
        <f>IF(DAY(JanSun1)=1,JanSun1+25,JanSun1+32)</f>
        <v>43860</v>
      </c>
      <c r="G7" s="44">
        <f>IF(DAY(JanSun1)=1,JanSun1+26,JanSun1+33)</f>
        <v>43861</v>
      </c>
      <c r="H7" s="44">
        <f>IF(DAY(JanSun1)=1,JanSun1+27,JanSun1+34)</f>
        <v>43862</v>
      </c>
      <c r="I7" s="44">
        <f>IF(DAY(JanSun1)=1,JanSun1+28,JanSun1+35)</f>
        <v>43863</v>
      </c>
      <c r="J7" s="27"/>
      <c r="K7" s="103"/>
    </row>
    <row r="8" spans="1:11" ht="30" customHeight="1" x14ac:dyDescent="0.4">
      <c r="A8" s="4"/>
      <c r="B8" s="6"/>
      <c r="C8" s="45">
        <f>IF(DAY(JanSun1)=1,JanSun1+29,JanSun1+36)</f>
        <v>43864</v>
      </c>
      <c r="D8" s="45">
        <f>IF(DAY(JanSun1)=1,JanSun1+30,JanSun1+37)</f>
        <v>43865</v>
      </c>
      <c r="E8" s="45">
        <f>IF(DAY(JanSun1)=1,JanSun1+31,JanSun1+38)</f>
        <v>43866</v>
      </c>
      <c r="F8" s="45">
        <f>IF(DAY(JanSun1)=1,JanSun1+32,JanSun1+39)</f>
        <v>43867</v>
      </c>
      <c r="G8" s="45">
        <f>IF(DAY(JanSun1)=1,JanSun1+33,JanSun1+40)</f>
        <v>43868</v>
      </c>
      <c r="H8" s="45">
        <f>IF(DAY(JanSun1)=1,JanSun1+34,JanSun1+41)</f>
        <v>43869</v>
      </c>
      <c r="I8" s="45">
        <f>IF(DAY(JanSun1)=1,JanSun1+35,JanSun1+42)</f>
        <v>43870</v>
      </c>
      <c r="J8" s="40" t="s">
        <v>28</v>
      </c>
      <c r="K8" s="104"/>
    </row>
    <row r="9" spans="1:11" ht="30" customHeight="1" x14ac:dyDescent="0.4">
      <c r="A9" s="4"/>
      <c r="B9" s="5"/>
      <c r="J9" s="24"/>
      <c r="K9" s="104"/>
    </row>
    <row r="10" spans="1:11" ht="30" customHeight="1" x14ac:dyDescent="0.4">
      <c r="A10" s="4"/>
      <c r="B10" s="49" t="s">
        <v>3</v>
      </c>
      <c r="C10" s="3"/>
      <c r="D10" s="3"/>
      <c r="E10" s="3"/>
      <c r="F10" s="3"/>
      <c r="G10" s="3"/>
      <c r="H10" s="3"/>
      <c r="I10" s="3"/>
      <c r="J10" s="24"/>
      <c r="K10" s="104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24"/>
      <c r="K11" s="104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16"/>
      <c r="J12" s="24"/>
      <c r="K12" s="104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2"/>
      <c r="J13" s="27"/>
      <c r="K13" s="103"/>
    </row>
    <row r="14" spans="1:11" ht="30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16"/>
      <c r="J14" s="41" t="s">
        <v>29</v>
      </c>
      <c r="K14" s="104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2"/>
      <c r="J15" s="24"/>
      <c r="K15" s="104"/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16"/>
      <c r="J16" s="24"/>
      <c r="K16" s="104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2"/>
      <c r="J17" s="24"/>
      <c r="K17" s="104"/>
    </row>
    <row r="18" spans="1:11" ht="30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16"/>
      <c r="J18" s="24"/>
      <c r="K18" s="104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3"/>
      <c r="J19" s="27"/>
      <c r="K19" s="105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16"/>
      <c r="J20" s="42" t="s">
        <v>30</v>
      </c>
      <c r="K20" s="104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2"/>
      <c r="J21" s="24"/>
      <c r="K21" s="104"/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16"/>
      <c r="J22" s="24"/>
      <c r="K22" s="104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2"/>
      <c r="J23" s="24"/>
      <c r="K23" s="104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16"/>
      <c r="J24" s="24"/>
      <c r="K24" s="104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2"/>
      <c r="J25" s="27"/>
      <c r="K25" s="105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16"/>
      <c r="J26" s="43" t="s">
        <v>37</v>
      </c>
      <c r="K26" s="104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2"/>
      <c r="J27" s="24"/>
      <c r="K27" s="104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16"/>
      <c r="J28" s="24"/>
      <c r="K28" s="104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2"/>
      <c r="J29" s="24"/>
      <c r="K29" s="104"/>
    </row>
    <row r="30" spans="1:11" ht="30" customHeight="1" x14ac:dyDescent="0.4">
      <c r="A30" s="10" t="s">
        <v>23</v>
      </c>
      <c r="B30" s="7"/>
      <c r="C30" s="118"/>
      <c r="D30" s="118"/>
      <c r="E30" s="118"/>
      <c r="F30" s="118"/>
      <c r="G30" s="118"/>
      <c r="H30" s="118"/>
      <c r="I30" s="16"/>
      <c r="J30" s="24"/>
      <c r="K30" s="104"/>
    </row>
    <row r="31" spans="1:11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28"/>
      <c r="K31" s="104"/>
    </row>
  </sheetData>
  <dataConsolidate/>
  <mergeCells count="64">
    <mergeCell ref="C17:D17"/>
    <mergeCell ref="C12:D12"/>
    <mergeCell ref="C13:D13"/>
    <mergeCell ref="C14:D14"/>
    <mergeCell ref="C15:D15"/>
    <mergeCell ref="C16:D16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15:F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G17:H17"/>
    <mergeCell ref="G18:H18"/>
    <mergeCell ref="G19:H19"/>
    <mergeCell ref="G14:H14"/>
    <mergeCell ref="G15:H15"/>
    <mergeCell ref="C1:I1"/>
    <mergeCell ref="G11:H11"/>
    <mergeCell ref="G12:H12"/>
    <mergeCell ref="G13:H13"/>
    <mergeCell ref="G16:H16"/>
    <mergeCell ref="E11:F11"/>
    <mergeCell ref="C11:D11"/>
    <mergeCell ref="E14:F14"/>
    <mergeCell ref="E13:F13"/>
    <mergeCell ref="E12:F12"/>
  </mergeCells>
  <phoneticPr fontId="2" type="noConversion"/>
  <conditionalFormatting sqref="C3:H3">
    <cfRule type="expression" dxfId="132" priority="9" stopIfTrue="1">
      <formula>DAY(C3)&gt;8</formula>
    </cfRule>
  </conditionalFormatting>
  <conditionalFormatting sqref="C7:I8">
    <cfRule type="expression" dxfId="131" priority="8" stopIfTrue="1">
      <formula>AND(DAY(C7)&gt;=1,DAY(C7)&lt;=15)</formula>
    </cfRule>
  </conditionalFormatting>
  <conditionalFormatting sqref="C3:I8">
    <cfRule type="expression" dxfId="130" priority="20">
      <formula>VLOOKUP(DAY(C3),AssignmentDays,1,FALSE)=DAY(C3)</formula>
    </cfRule>
  </conditionalFormatting>
  <conditionalFormatting sqref="B12:I12 B14:I14 B16:I16 B18:I18 B20:I20 B22:I22 B24:I24 B26:I26 B28:I28 B30:I30">
    <cfRule type="expression" dxfId="129" priority="6">
      <formula>B12&lt;&gt;""</formula>
    </cfRule>
  </conditionalFormatting>
  <conditionalFormatting sqref="B13:I13 B15:I15 B17:I17 B19:I19 B21:I21 B23:I23 B25:I25 B27:I27 B29:I29 B31:I31">
    <cfRule type="expression" dxfId="128" priority="4">
      <formula>B13&lt;&gt;""</formula>
    </cfRule>
  </conditionalFormatting>
  <conditionalFormatting sqref="B13:I13 B15:I15 B17:I17 B19:I19 B21:I21 B23:I23 B25:I25 B27:I27 B29:I29">
    <cfRule type="expression" dxfId="127" priority="3">
      <formula>COLUMN(B12)&gt;=2</formula>
    </cfRule>
  </conditionalFormatting>
  <conditionalFormatting sqref="B12:I31">
    <cfRule type="expression" dxfId="126" priority="1">
      <formula>COLUMN(B11)&gt;2</formula>
    </cfRule>
  </conditionalFormatting>
  <dataValidations xWindow="250" yWindow="581" count="12">
    <dataValidation allowBlank="1" showInputMessage="1" showErrorMessage="1" prompt="Enter year in this cell" sqref="B1" xr:uid="{00000000-0002-0000-0000-000000000000}"/>
    <dataValidation allowBlank="1" showInputMessage="1" showErrorMessage="1" prompt="Prepare a weekly schedule &amp; create an assignment list in this worksheet. Assignment list entries are automatically highlighted in monthly calendar. Enter calendar year in cell B1" sqref="A1" xr:uid="{00000000-0002-0000-0000-000001000000}"/>
    <dataValidation allowBlank="1" showInputMessage="1" showErrorMessage="1" prompt="January calendar automatically highlights assignment list entries for the month. Darker fonts are assignments. Lighter fonts are days that belong to the previous or next month" sqref="B2" xr:uid="{00000000-0002-0000-0000-000002000000}"/>
    <dataValidation allowBlank="1" showInputMessage="1" showErrorMessage="1" prompt="Cells C2:I2 contain weekdays" sqref="C2" xr:uid="{00000000-0002-0000-0000-000003000000}"/>
    <dataValidation allowBlank="1" showInputMessage="1" showErrorMessage="1" prompt="If this cell doesn’t contain the number 1, then it is a day from a previous month. Cells C3:I8 contain dates for the current month" sqref="C3" xr:uid="{00000000-0002-0000-0000-000004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000-000005000000}"/>
    <dataValidation allowBlank="1" showInputMessage="1" showErrorMessage="1" prompt="Enter class in this row from columns B to I" sqref="B13" xr:uid="{00000000-0002-0000-0000-000006000000}"/>
    <dataValidation allowBlank="1" showInputMessage="1" showErrorMessage="1" prompt="Enter time in this row  from columns B to I" sqref="B12" xr:uid="{00000000-0002-0000-00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000-000009000000}"/>
    <dataValidation allowBlank="1" showInputMessage="1" showErrorMessage="1" prompt="If this row contains a number less than the previous number or row of numbers, then this row contains dates for the next calendar month" sqref="C8" xr:uid="{00000000-0002-0000-0000-00000A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000-00000B000000}"/>
    <dataValidation allowBlank="1" showInputMessage="1" showErrorMessage="1" prompt="Weekdays are in this row, from Monday to Friday" sqref="B11" xr:uid="{00000000-0002-0000-0000-00000C000000}"/>
  </dataValidations>
  <printOptions horizontalCentered="1" verticalCentered="1"/>
  <pageMargins left="0.5" right="0.5" top="0.5" bottom="0.5" header="0.3" footer="0.3"/>
  <pageSetup scale="58" orientation="landscape" r:id="rId1"/>
  <headerFooter differentFirst="1">
    <oddFooter>Page &amp;P of &amp;N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L31"/>
  <sheetViews>
    <sheetView showGridLines="0" topLeftCell="C13" zoomScale="90" zoomScaleNormal="90" zoomScalePageLayoutView="84" workbookViewId="0">
      <selection activeCell="H5" sqref="H5"/>
    </sheetView>
  </sheetViews>
  <sheetFormatPr defaultColWidth="8.58203125" defaultRowHeight="30" customHeight="1" x14ac:dyDescent="0.35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67" customWidth="1"/>
    <col min="11" max="11" width="73.08203125" style="102" customWidth="1"/>
    <col min="12" max="12" width="70.58203125" style="1" customWidth="1"/>
    <col min="13" max="13" width="2.58203125" customWidth="1"/>
  </cols>
  <sheetData>
    <row r="1" spans="1:12" s="50" customFormat="1" ht="90" customHeight="1" x14ac:dyDescent="0.4">
      <c r="B1" s="51">
        <f>CalendarYear</f>
        <v>2020</v>
      </c>
      <c r="C1" s="121" t="s">
        <v>35</v>
      </c>
      <c r="D1" s="121"/>
      <c r="E1" s="121"/>
      <c r="F1" s="121"/>
      <c r="G1" s="121"/>
      <c r="H1" s="121"/>
      <c r="I1" s="121"/>
      <c r="J1" s="52" t="s">
        <v>31</v>
      </c>
      <c r="K1" s="53" t="s">
        <v>26</v>
      </c>
    </row>
    <row r="2" spans="1:12" x14ac:dyDescent="0.4">
      <c r="A2" s="4"/>
      <c r="B2" s="60" t="s">
        <v>15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86"/>
      <c r="L2"/>
    </row>
    <row r="3" spans="1:12" ht="30" customHeight="1" x14ac:dyDescent="0.4">
      <c r="A3" s="4"/>
      <c r="B3" s="58"/>
      <c r="C3" s="44">
        <f>IF(DAY(OctSun1)=1,OctSun1-6,OctSun1+1)</f>
        <v>44102</v>
      </c>
      <c r="D3" s="44">
        <f>IF(DAY(OctSun1)=1,OctSun1-5,OctSun1+2)</f>
        <v>44103</v>
      </c>
      <c r="E3" s="44">
        <f>IF(DAY(OctSun1)=1,OctSun1-4,OctSun1+3)</f>
        <v>44104</v>
      </c>
      <c r="F3" s="132">
        <f>IF(DAY(OctSun1)=1,OctSun1-3,OctSun1+4)</f>
        <v>44105</v>
      </c>
      <c r="G3" s="133">
        <f>IF(DAY(OctSun1)=1,OctSun1-2,OctSun1+5)</f>
        <v>44106</v>
      </c>
      <c r="H3" s="44">
        <f>IF(DAY(OctSun1)=1,OctSun1-1,OctSun1+6)</f>
        <v>44107</v>
      </c>
      <c r="I3" s="44">
        <f>IF(DAY(OctSun1)=1,OctSun1,OctSun1+7)</f>
        <v>44108</v>
      </c>
      <c r="J3" s="88">
        <v>44105</v>
      </c>
      <c r="K3" s="130" t="s">
        <v>54</v>
      </c>
      <c r="L3"/>
    </row>
    <row r="4" spans="1:12" ht="30" customHeight="1" x14ac:dyDescent="0.4">
      <c r="A4" s="4"/>
      <c r="B4" s="58"/>
      <c r="C4" s="44">
        <f>IF(DAY(OctSun1)=1,OctSun1+1,OctSun1+8)</f>
        <v>44109</v>
      </c>
      <c r="D4" s="44">
        <f>IF(DAY(OctSun1)=1,OctSun1+2,OctSun1+9)</f>
        <v>44110</v>
      </c>
      <c r="E4" s="44">
        <f>IF(DAY(OctSun1)=1,OctSun1+3,OctSun1+10)</f>
        <v>44111</v>
      </c>
      <c r="F4" s="44">
        <f>IF(DAY(OctSun1)=1,OctSun1+4,OctSun1+11)</f>
        <v>44112</v>
      </c>
      <c r="G4" s="44">
        <f>IF(DAY(OctSun1)=1,OctSun1+5,OctSun1+12)</f>
        <v>44113</v>
      </c>
      <c r="H4" s="44">
        <f>IF(DAY(OctSun1)=1,OctSun1+6,OctSun1+13)</f>
        <v>44114</v>
      </c>
      <c r="I4" s="44">
        <f>IF(DAY(OctSun1)=1,OctSun1+7,OctSun1+14)</f>
        <v>44115</v>
      </c>
      <c r="J4" s="82">
        <v>44106</v>
      </c>
      <c r="K4" s="131" t="s">
        <v>56</v>
      </c>
      <c r="L4"/>
    </row>
    <row r="5" spans="1:12" ht="18" x14ac:dyDescent="0.4">
      <c r="A5" s="4"/>
      <c r="B5" s="58"/>
      <c r="C5" s="44">
        <f>IF(DAY(OctSun1)=1,OctSun1+8,OctSun1+15)</f>
        <v>44116</v>
      </c>
      <c r="D5" s="44">
        <f>IF(DAY(OctSun1)=1,OctSun1+9,OctSun1+16)</f>
        <v>44117</v>
      </c>
      <c r="E5" s="132">
        <f>IF(DAY(OctSun1)=1,OctSun1+10,OctSun1+17)</f>
        <v>44118</v>
      </c>
      <c r="F5" s="44">
        <f>IF(DAY(OctSun1)=1,OctSun1+11,OctSun1+18)</f>
        <v>44119</v>
      </c>
      <c r="G5" s="44">
        <f>IF(DAY(OctSun1)=1,OctSun1+12,OctSun1+19)</f>
        <v>44120</v>
      </c>
      <c r="H5" s="44">
        <f>IF(DAY(OctSun1)=1,OctSun1+13,OctSun1+20)</f>
        <v>44121</v>
      </c>
      <c r="I5" s="44">
        <f>IF(DAY(OctSun1)=1,OctSun1+14,OctSun1+21)</f>
        <v>44122</v>
      </c>
      <c r="J5" s="77"/>
      <c r="K5" s="84"/>
      <c r="L5"/>
    </row>
    <row r="6" spans="1:12" ht="30" customHeight="1" x14ac:dyDescent="0.4">
      <c r="A6" s="4"/>
      <c r="B6" s="58"/>
      <c r="C6" s="44">
        <f>IF(DAY(OctSun1)=1,OctSun1+15,OctSun1+22)</f>
        <v>44123</v>
      </c>
      <c r="D6" s="44">
        <f>IF(DAY(OctSun1)=1,OctSun1+16,OctSun1+23)</f>
        <v>44124</v>
      </c>
      <c r="E6" s="44">
        <f>IF(DAY(OctSun1)=1,OctSun1+17,OctSun1+24)</f>
        <v>44125</v>
      </c>
      <c r="F6" s="44">
        <f>IF(DAY(OctSun1)=1,OctSun1+18,OctSun1+25)</f>
        <v>44126</v>
      </c>
      <c r="G6" s="44">
        <f>IF(DAY(OctSun1)=1,OctSun1+19,OctSun1+26)</f>
        <v>44127</v>
      </c>
      <c r="H6" s="44">
        <f>IF(DAY(OctSun1)=1,OctSun1+20,OctSun1+27)</f>
        <v>44128</v>
      </c>
      <c r="I6" s="44">
        <f>IF(DAY(OctSun1)=1,OctSun1+21,OctSun1+28)</f>
        <v>44129</v>
      </c>
      <c r="J6" s="54"/>
      <c r="K6" s="86"/>
      <c r="L6"/>
    </row>
    <row r="7" spans="1:12" ht="30" customHeight="1" x14ac:dyDescent="0.4">
      <c r="A7" s="4"/>
      <c r="B7" s="58"/>
      <c r="C7" s="44">
        <f>IF(DAY(OctSun1)=1,OctSun1+22,OctSun1+29)</f>
        <v>44130</v>
      </c>
      <c r="D7" s="44">
        <f>IF(DAY(OctSun1)=1,OctSun1+23,OctSun1+30)</f>
        <v>44131</v>
      </c>
      <c r="E7" s="44">
        <f>IF(DAY(OctSun1)=1,OctSun1+24,OctSun1+31)</f>
        <v>44132</v>
      </c>
      <c r="F7" s="44">
        <f>IF(DAY(OctSun1)=1,OctSun1+25,OctSun1+32)</f>
        <v>44133</v>
      </c>
      <c r="G7" s="83">
        <f>IF(DAY(OctSun1)=1,OctSun1+26,OctSun1+33)</f>
        <v>44134</v>
      </c>
      <c r="H7" s="44">
        <f>IF(DAY(OctSun1)=1,OctSun1+27,OctSun1+34)</f>
        <v>44135</v>
      </c>
      <c r="I7" s="44">
        <f>IF(DAY(OctSun1)=1,OctSun1+28,OctSun1+35)</f>
        <v>44136</v>
      </c>
      <c r="J7" s="61"/>
      <c r="K7" s="95"/>
      <c r="L7"/>
    </row>
    <row r="8" spans="1:12" ht="46" customHeight="1" x14ac:dyDescent="0.4">
      <c r="A8" s="4"/>
      <c r="B8" s="59"/>
      <c r="C8" s="44">
        <f>IF(DAY(OctSun1)=1,OctSun1+29,OctSun1+36)</f>
        <v>44137</v>
      </c>
      <c r="D8" s="44">
        <f>IF(DAY(OctSun1)=1,OctSun1+30,OctSun1+37)</f>
        <v>44138</v>
      </c>
      <c r="E8" s="44">
        <f>IF(DAY(OctSun1)=1,OctSun1+31,OctSun1+38)</f>
        <v>44139</v>
      </c>
      <c r="F8" s="44">
        <f>IF(DAY(OctSun1)=1,OctSun1+32,OctSun1+39)</f>
        <v>44140</v>
      </c>
      <c r="G8" s="44">
        <f>IF(DAY(OctSun1)=1,OctSun1+33,OctSun1+40)</f>
        <v>44141</v>
      </c>
      <c r="H8" s="44">
        <f>IF(DAY(OctSun1)=1,OctSun1+34,OctSun1+41)</f>
        <v>44142</v>
      </c>
      <c r="I8" s="44">
        <f>IF(DAY(OctSun1)=1,OctSun1+35,OctSun1+42)</f>
        <v>44143</v>
      </c>
      <c r="J8" s="40" t="s">
        <v>28</v>
      </c>
      <c r="K8" s="86"/>
      <c r="L8"/>
    </row>
    <row r="9" spans="1:12" ht="30" customHeight="1" x14ac:dyDescent="0.4">
      <c r="A9" s="4"/>
      <c r="B9" s="58"/>
      <c r="C9" s="68"/>
      <c r="D9" s="68"/>
      <c r="E9" s="68"/>
      <c r="F9" s="68"/>
      <c r="G9" s="68"/>
      <c r="H9" s="68"/>
      <c r="I9" s="68"/>
      <c r="J9" s="77"/>
      <c r="K9" s="87"/>
      <c r="L9"/>
    </row>
    <row r="10" spans="1:12" ht="18" x14ac:dyDescent="0.4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54"/>
      <c r="K10" s="86"/>
      <c r="L10"/>
    </row>
    <row r="11" spans="1:12" ht="30" customHeight="1" x14ac:dyDescent="0.4">
      <c r="A11" s="10" t="s">
        <v>25</v>
      </c>
      <c r="B11" s="34" t="s">
        <v>1</v>
      </c>
      <c r="C11" s="124" t="s">
        <v>2</v>
      </c>
      <c r="D11" s="125"/>
      <c r="E11" s="124" t="s">
        <v>4</v>
      </c>
      <c r="F11" s="125"/>
      <c r="G11" s="124" t="s">
        <v>5</v>
      </c>
      <c r="H11" s="125"/>
      <c r="I11" s="35" t="s">
        <v>6</v>
      </c>
      <c r="J11" s="54"/>
      <c r="K11" s="86"/>
      <c r="L11"/>
    </row>
    <row r="12" spans="1:12" ht="30" customHeight="1" x14ac:dyDescent="0.4">
      <c r="A12" s="10" t="s">
        <v>23</v>
      </c>
      <c r="B12" s="7"/>
      <c r="C12" s="118"/>
      <c r="D12" s="118"/>
      <c r="E12" s="118"/>
      <c r="F12" s="118"/>
      <c r="G12" s="118"/>
      <c r="H12" s="118"/>
      <c r="I12" s="8"/>
      <c r="J12" s="54"/>
      <c r="K12" s="86"/>
      <c r="L12"/>
    </row>
    <row r="13" spans="1:12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61"/>
      <c r="K13" s="95"/>
      <c r="L13"/>
    </row>
    <row r="14" spans="1:12" ht="30" customHeight="1" x14ac:dyDescent="0.4">
      <c r="A14" s="10" t="s">
        <v>23</v>
      </c>
      <c r="B14" s="7"/>
      <c r="C14" s="118"/>
      <c r="D14" s="118"/>
      <c r="E14" s="118"/>
      <c r="F14" s="118"/>
      <c r="G14" s="118"/>
      <c r="H14" s="118"/>
      <c r="I14" s="8"/>
      <c r="J14" s="41" t="s">
        <v>29</v>
      </c>
      <c r="K14" s="86"/>
      <c r="L14"/>
    </row>
    <row r="15" spans="1:12" ht="47.15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88">
        <v>44118</v>
      </c>
      <c r="K15" s="130" t="s">
        <v>55</v>
      </c>
      <c r="L15"/>
    </row>
    <row r="16" spans="1:12" ht="30" customHeight="1" x14ac:dyDescent="0.4">
      <c r="A16" s="10" t="s">
        <v>23</v>
      </c>
      <c r="B16" s="7"/>
      <c r="C16" s="118"/>
      <c r="D16" s="118"/>
      <c r="E16" s="118"/>
      <c r="F16" s="118"/>
      <c r="G16" s="118"/>
      <c r="H16" s="118"/>
      <c r="I16" s="9"/>
      <c r="J16" s="127">
        <v>44120</v>
      </c>
      <c r="K16" s="86" t="s">
        <v>63</v>
      </c>
      <c r="L16"/>
    </row>
    <row r="17" spans="1:12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86"/>
      <c r="L17"/>
    </row>
    <row r="18" spans="1:12" ht="30" customHeight="1" x14ac:dyDescent="0.4">
      <c r="A18" s="10" t="s">
        <v>23</v>
      </c>
      <c r="B18" s="7"/>
      <c r="C18" s="118"/>
      <c r="D18" s="118"/>
      <c r="E18" s="118"/>
      <c r="F18" s="118"/>
      <c r="G18" s="118"/>
      <c r="H18" s="118"/>
      <c r="I18" s="8"/>
      <c r="J18" s="54"/>
      <c r="K18" s="86"/>
      <c r="L18"/>
    </row>
    <row r="19" spans="1:12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61"/>
      <c r="K19" s="97"/>
      <c r="L19"/>
    </row>
    <row r="20" spans="1:12" ht="30" customHeight="1" x14ac:dyDescent="0.4">
      <c r="A20" s="10" t="s">
        <v>23</v>
      </c>
      <c r="B20" s="7"/>
      <c r="C20" s="118"/>
      <c r="D20" s="118"/>
      <c r="E20" s="118"/>
      <c r="F20" s="118"/>
      <c r="G20" s="118"/>
      <c r="H20" s="118"/>
      <c r="I20" s="8"/>
      <c r="J20" s="42" t="s">
        <v>30</v>
      </c>
      <c r="K20" s="86"/>
      <c r="L20"/>
    </row>
    <row r="21" spans="1:12" ht="33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77"/>
      <c r="K21" s="84"/>
      <c r="L21"/>
    </row>
    <row r="22" spans="1:12" ht="25.5" customHeight="1" x14ac:dyDescent="0.4">
      <c r="A22" s="10" t="s">
        <v>23</v>
      </c>
      <c r="B22" s="7"/>
      <c r="C22" s="118"/>
      <c r="D22" s="118"/>
      <c r="E22" s="118"/>
      <c r="F22" s="118"/>
      <c r="G22" s="118"/>
      <c r="H22" s="118"/>
      <c r="I22" s="8"/>
      <c r="J22" s="54"/>
      <c r="K22" s="86"/>
      <c r="L22"/>
    </row>
    <row r="23" spans="1:12" ht="42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86"/>
      <c r="L23"/>
    </row>
    <row r="24" spans="1:12" ht="24" customHeight="1" x14ac:dyDescent="0.4">
      <c r="A24" s="10" t="s">
        <v>23</v>
      </c>
      <c r="B24" s="7"/>
      <c r="C24" s="118"/>
      <c r="D24" s="118"/>
      <c r="E24" s="118"/>
      <c r="F24" s="118"/>
      <c r="G24" s="118"/>
      <c r="H24" s="118"/>
      <c r="I24" s="8"/>
      <c r="J24" s="54"/>
      <c r="K24" s="86"/>
      <c r="L24"/>
    </row>
    <row r="25" spans="1:12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61"/>
      <c r="K25" s="97"/>
      <c r="L25"/>
    </row>
    <row r="26" spans="1:12" ht="30" customHeight="1" x14ac:dyDescent="0.4">
      <c r="A26" s="10" t="s">
        <v>23</v>
      </c>
      <c r="B26" s="7"/>
      <c r="C26" s="118"/>
      <c r="D26" s="118"/>
      <c r="E26" s="118"/>
      <c r="F26" s="118"/>
      <c r="G26" s="118"/>
      <c r="H26" s="118"/>
      <c r="I26" s="8"/>
      <c r="J26" s="43" t="s">
        <v>37</v>
      </c>
      <c r="K26" s="86"/>
      <c r="L26"/>
    </row>
    <row r="27" spans="1:12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82">
        <v>44134</v>
      </c>
      <c r="K27" s="96" t="s">
        <v>57</v>
      </c>
      <c r="L27"/>
    </row>
    <row r="28" spans="1:12" ht="30" customHeight="1" x14ac:dyDescent="0.4">
      <c r="A28" s="10" t="s">
        <v>23</v>
      </c>
      <c r="B28" s="7"/>
      <c r="C28" s="118"/>
      <c r="D28" s="118"/>
      <c r="E28" s="118"/>
      <c r="F28" s="118"/>
      <c r="G28" s="118"/>
      <c r="H28" s="118"/>
      <c r="I28" s="8"/>
      <c r="J28" s="54"/>
      <c r="K28" s="86"/>
      <c r="L28"/>
    </row>
    <row r="29" spans="1:12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54"/>
      <c r="K29" s="86"/>
      <c r="L29"/>
    </row>
    <row r="30" spans="1:12" ht="30" customHeight="1" x14ac:dyDescent="0.4">
      <c r="A30" s="10" t="s">
        <v>23</v>
      </c>
      <c r="B30" s="7"/>
      <c r="C30" s="118"/>
      <c r="D30" s="118"/>
      <c r="E30" s="118"/>
      <c r="F30" s="118"/>
      <c r="G30" s="118"/>
      <c r="H30" s="118"/>
      <c r="I30" s="8"/>
      <c r="J30" s="54"/>
      <c r="K30" s="86"/>
      <c r="L30"/>
    </row>
    <row r="31" spans="1:12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54"/>
      <c r="K31" s="86"/>
      <c r="L31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34" priority="8" stopIfTrue="1">
      <formula>DAY(C3)&gt;8</formula>
    </cfRule>
  </conditionalFormatting>
  <conditionalFormatting sqref="C7:I8">
    <cfRule type="expression" dxfId="33" priority="7" stopIfTrue="1">
      <formula>AND(DAY(C7)&gt;=1,DAY(C7)&lt;=15)</formula>
    </cfRule>
  </conditionalFormatting>
  <conditionalFormatting sqref="C3:I8">
    <cfRule type="expression" dxfId="32" priority="9">
      <formula>VLOOKUP(DAY(C3),AssignmentDays,1,FALSE)=DAY(C3)</formula>
    </cfRule>
  </conditionalFormatting>
  <conditionalFormatting sqref="B13:I13 B15:I15 B17:I17 B19:I19 B21:I21 B23:I23 B25:I25 B27:I27 B29:I29 B31:I31">
    <cfRule type="expression" dxfId="31" priority="6">
      <formula>B13&lt;&gt;""</formula>
    </cfRule>
  </conditionalFormatting>
  <conditionalFormatting sqref="B12:I12 B14:I14 B16:I16 B18:I18 B20:I20 B22:I22 B24:I24 B26:I26 B28:I28 B30:I30">
    <cfRule type="expression" dxfId="30" priority="5">
      <formula>B12&lt;&gt;""</formula>
    </cfRule>
  </conditionalFormatting>
  <conditionalFormatting sqref="B13:I13 B15:I15 B17:I17 B19:I19 B21:I21 B23:I23 B25:I25 B27:I27 B29:I29">
    <cfRule type="expression" dxfId="29" priority="2">
      <formula>COLUMN(B13)&gt;=2</formula>
    </cfRule>
    <cfRule type="expression" dxfId="28" priority="4">
      <formula>COLUMN(B11)&gt;2</formula>
    </cfRule>
  </conditionalFormatting>
  <conditionalFormatting sqref="B31:I31">
    <cfRule type="expression" dxfId="27" priority="3">
      <formula>COLUMN(B12)&gt;2</formula>
    </cfRule>
  </conditionalFormatting>
  <conditionalFormatting sqref="B12:I31">
    <cfRule type="expression" dxfId="26" priority="1">
      <formula>COLUMN(B12)&gt;2</formula>
    </cfRule>
  </conditionalFormatting>
  <dataValidations count="12">
    <dataValidation allowBlank="1" showInputMessage="1" showErrorMessage="1" prompt="October calendar automatically highlights assignment list entries for the month. Darker fonts are assignments. Lighter fonts are days that belong to the previous or next month" sqref="B2" xr:uid="{00000000-0002-0000-0900-000000000000}"/>
    <dataValidation allowBlank="1" showInputMessage="1" showErrorMessage="1" prompt="Automatically updated calendar year. To change the year, update cell B1 on Jan worksheet" sqref="B1" xr:uid="{00000000-0002-0000-0900-000001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900-000002000000}"/>
    <dataValidation allowBlank="1" showInputMessage="1" showErrorMessage="1" prompt="Cells C2:I2 contain weekdays" sqref="C2" xr:uid="{00000000-0002-0000-0900-000003000000}"/>
    <dataValidation allowBlank="1" showInputMessage="1" showErrorMessage="1" prompt="If this cell doesn’t contain the number 1, then it is a day from a previous month. Cells C3:I8 contain dates for the current month" sqref="C3" xr:uid="{00000000-0002-0000-0900-000004000000}"/>
    <dataValidation allowBlank="1" showInputMessage="1" showErrorMessage="1" prompt="If this row contains a number less than the previous number or row of numbers, then this row contains dates for the next calendar month" sqref="C8" xr:uid="{00000000-0002-0000-0900-000005000000}"/>
    <dataValidation allowBlank="1" showInputMessage="1" showErrorMessage="1" prompt="Enter time in this row  from columns B to I" sqref="B12" xr:uid="{00000000-0002-0000-0900-000006000000}"/>
    <dataValidation allowBlank="1" showInputMessage="1" showErrorMessage="1" prompt="Enter class in this row from columns B to I" sqref="B13" xr:uid="{00000000-0002-0000-09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9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900-000009000000}"/>
    <dataValidation allowBlank="1" showInputMessage="1" showErrorMessage="1" prompt="Weekdays are in this row, from Monday to Friday" sqref="B11" xr:uid="{00000000-0002-0000-09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900-00000C000000}"/>
  </dataValidations>
  <hyperlinks>
    <hyperlink ref="K3" r:id="rId1" xr:uid="{3FAD9650-B497-46BC-B4C3-AA993CF4E4A2}"/>
    <hyperlink ref="K15" r:id="rId2" xr:uid="{DAD7F491-7E4C-422E-9F1B-329FBC876AB0}"/>
    <hyperlink ref="E5" r:id="rId3" display="https://tcfsps.wufoo.com/forms/zvoftj11j18wiy/" xr:uid="{DB148E31-CDF6-41E5-AF3B-A3BAD7A0A982}"/>
    <hyperlink ref="K4" r:id="rId4" xr:uid="{FAA3ED6B-5A77-41E3-A1B9-EB03B40463D4}"/>
    <hyperlink ref="G3" r:id="rId5" display="https://tcfsps.wufoo.com/forms/zrjnnzg19kcgmm/" xr:uid="{9C6D5D9B-7249-46E0-9E3C-D2C99E6EDAF0}"/>
    <hyperlink ref="F3" r:id="rId6" display="https://tcfsps.wufoo.com/forms/z4jzmf810s7kiu/" xr:uid="{1917D67E-5C2B-45FB-B778-CC2209D5312B}"/>
  </hyperlinks>
  <printOptions horizontalCentered="1" verticalCentered="1"/>
  <pageMargins left="0.5" right="0.5" top="0.5" bottom="0.5" header="0.3" footer="0.3"/>
  <pageSetup scale="58" orientation="landscape" r:id="rId7"/>
  <drawing r:id="rId8"/>
  <tableParts count="1"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pageSetUpPr fitToPage="1"/>
  </sheetPr>
  <dimension ref="A1:K31"/>
  <sheetViews>
    <sheetView showGridLines="0" topLeftCell="C7" zoomScale="90" zoomScaleNormal="90" zoomScalePageLayoutView="84" workbookViewId="0">
      <selection activeCell="I2" sqref="C2:I2"/>
    </sheetView>
  </sheetViews>
  <sheetFormatPr defaultColWidth="8.58203125" defaultRowHeight="30" customHeight="1" x14ac:dyDescent="0.4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26" customWidth="1"/>
    <col min="11" max="11" width="70.58203125" style="99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1"/>
      <c r="E1" s="121"/>
      <c r="F1" s="121"/>
      <c r="G1" s="121"/>
      <c r="H1" s="121"/>
      <c r="I1" s="121"/>
      <c r="J1" s="52" t="s">
        <v>31</v>
      </c>
      <c r="K1" s="53" t="s">
        <v>26</v>
      </c>
    </row>
    <row r="2" spans="1:11" ht="49.5" customHeight="1" x14ac:dyDescent="0.4">
      <c r="A2" s="4"/>
      <c r="B2" s="60" t="s">
        <v>16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86"/>
    </row>
    <row r="3" spans="1:11" ht="30" customHeight="1" x14ac:dyDescent="0.4">
      <c r="A3" s="4"/>
      <c r="B3" s="58"/>
      <c r="C3" s="44">
        <f>IF(DAY(NovSun1)=1,NovSun1-6,NovSun1+1)</f>
        <v>44130</v>
      </c>
      <c r="D3" s="44">
        <f>IF(DAY(NovSun1)=1,NovSun1-5,NovSun1+2)</f>
        <v>44131</v>
      </c>
      <c r="E3" s="44">
        <f>IF(DAY(NovSun1)=1,NovSun1-4,NovSun1+3)</f>
        <v>44132</v>
      </c>
      <c r="F3" s="44">
        <f>IF(DAY(NovSun1)=1,NovSun1-3,NovSun1+4)</f>
        <v>44133</v>
      </c>
      <c r="G3" s="44">
        <f>IF(DAY(NovSun1)=1,NovSun1-2,NovSun1+5)</f>
        <v>44134</v>
      </c>
      <c r="H3" s="44">
        <f>IF(DAY(NovSun1)=1,NovSun1-1,NovSun1+6)</f>
        <v>44135</v>
      </c>
      <c r="I3" s="44">
        <f>IF(DAY(NovSun1)=1,NovSun1,NovSun1+7)</f>
        <v>44136</v>
      </c>
      <c r="J3" s="89">
        <v>44137</v>
      </c>
      <c r="K3" s="93" t="s">
        <v>58</v>
      </c>
    </row>
    <row r="4" spans="1:11" ht="18" x14ac:dyDescent="0.4">
      <c r="A4" s="4"/>
      <c r="B4" s="58"/>
      <c r="C4" s="90">
        <f>IF(DAY(NovSun1)=1,NovSun1+1,NovSun1+8)</f>
        <v>44137</v>
      </c>
      <c r="D4" s="44">
        <f>IF(DAY(NovSun1)=1,NovSun1+2,NovSun1+9)</f>
        <v>44138</v>
      </c>
      <c r="E4" s="44">
        <f>IF(DAY(NovSun1)=1,NovSun1+3,NovSun1+10)</f>
        <v>44139</v>
      </c>
      <c r="F4" s="44">
        <f>IF(DAY(NovSun1)=1,NovSun1+4,NovSun1+11)</f>
        <v>44140</v>
      </c>
      <c r="G4" s="44">
        <f>IF(DAY(NovSun1)=1,NovSun1+5,NovSun1+12)</f>
        <v>44141</v>
      </c>
      <c r="H4" s="44">
        <f>IF(DAY(NovSun1)=1,NovSun1+6,NovSun1+13)</f>
        <v>44142</v>
      </c>
      <c r="I4" s="44">
        <f>IF(DAY(NovSun1)=1,NovSun1+7,NovSun1+14)</f>
        <v>44143</v>
      </c>
      <c r="J4" s="54"/>
      <c r="K4" s="86"/>
    </row>
    <row r="5" spans="1:11" ht="18" x14ac:dyDescent="0.4">
      <c r="A5" s="4"/>
      <c r="B5" s="58"/>
      <c r="C5" s="90">
        <f>IF(DAY(NovSun1)=1,NovSun1+8,NovSun1+15)</f>
        <v>44144</v>
      </c>
      <c r="D5" s="44">
        <f>IF(DAY(NovSun1)=1,NovSun1+9,NovSun1+16)</f>
        <v>44145</v>
      </c>
      <c r="E5" s="92">
        <f>IF(DAY(NovSun1)=1,NovSun1+10,NovSun1+17)</f>
        <v>44146</v>
      </c>
      <c r="F5" s="44">
        <f>IF(DAY(NovSun1)=1,NovSun1+11,NovSun1+18)</f>
        <v>44147</v>
      </c>
      <c r="G5" s="44">
        <f>IF(DAY(NovSun1)=1,NovSun1+12,NovSun1+19)</f>
        <v>44148</v>
      </c>
      <c r="H5" s="44">
        <f>IF(DAY(NovSun1)=1,NovSun1+13,NovSun1+20)</f>
        <v>44149</v>
      </c>
      <c r="I5" s="44">
        <f>IF(DAY(NovSun1)=1,NovSun1+14,NovSun1+21)</f>
        <v>44150</v>
      </c>
      <c r="J5" s="54"/>
      <c r="K5" s="86"/>
    </row>
    <row r="6" spans="1:11" ht="30" customHeight="1" x14ac:dyDescent="0.4">
      <c r="A6" s="4"/>
      <c r="B6" s="58"/>
      <c r="C6" s="44">
        <f>IF(DAY(NovSun1)=1,NovSun1+15,NovSun1+22)</f>
        <v>44151</v>
      </c>
      <c r="D6" s="44">
        <f>IF(DAY(NovSun1)=1,NovSun1+16,NovSun1+23)</f>
        <v>44152</v>
      </c>
      <c r="E6" s="92">
        <f>IF(DAY(NovSun1)=1,NovSun1+17,NovSun1+24)</f>
        <v>44153</v>
      </c>
      <c r="F6" s="44">
        <f>IF(DAY(NovSun1)=1,NovSun1+18,NovSun1+25)</f>
        <v>44154</v>
      </c>
      <c r="G6" s="83">
        <f>IF(DAY(NovSun1)=1,NovSun1+19,NovSun1+26)</f>
        <v>44155</v>
      </c>
      <c r="H6" s="44">
        <f>IF(DAY(NovSun1)=1,NovSun1+20,NovSun1+27)</f>
        <v>44156</v>
      </c>
      <c r="I6" s="44">
        <f>IF(DAY(NovSun1)=1,NovSun1+21,NovSun1+28)</f>
        <v>44157</v>
      </c>
      <c r="J6" s="54"/>
      <c r="K6" s="86"/>
    </row>
    <row r="7" spans="1:11" ht="24.75" customHeight="1" x14ac:dyDescent="0.4">
      <c r="A7" s="4"/>
      <c r="B7" s="58"/>
      <c r="C7" s="44">
        <f>IF(DAY(NovSun1)=1,NovSun1+22,NovSun1+29)</f>
        <v>44158</v>
      </c>
      <c r="D7" s="44">
        <f>IF(DAY(NovSun1)=1,NovSun1+23,NovSun1+30)</f>
        <v>44159</v>
      </c>
      <c r="E7" s="44">
        <f>IF(DAY(NovSun1)=1,NovSun1+24,NovSun1+31)</f>
        <v>44160</v>
      </c>
      <c r="F7" s="44">
        <f>IF(DAY(NovSun1)=1,NovSun1+25,NovSun1+32)</f>
        <v>44161</v>
      </c>
      <c r="G7" s="44">
        <f>IF(DAY(NovSun1)=1,NovSun1+26,NovSun1+33)</f>
        <v>44162</v>
      </c>
      <c r="H7" s="44">
        <f>IF(DAY(NovSun1)=1,NovSun1+27,NovSun1+34)</f>
        <v>44163</v>
      </c>
      <c r="I7" s="44">
        <f>IF(DAY(NovSun1)=1,NovSun1+28,NovSun1+35)</f>
        <v>44164</v>
      </c>
      <c r="J7" s="61"/>
      <c r="K7" s="86"/>
    </row>
    <row r="8" spans="1:11" ht="31.5" customHeight="1" x14ac:dyDescent="0.4">
      <c r="A8" s="4"/>
      <c r="B8" s="59"/>
      <c r="C8" s="44">
        <f>IF(DAY(NovSun1)=1,NovSun1+29,NovSun1+36)</f>
        <v>44165</v>
      </c>
      <c r="D8" s="44">
        <f>IF(DAY(NovSun1)=1,NovSun1+30,NovSun1+37)</f>
        <v>44166</v>
      </c>
      <c r="E8" s="44">
        <f>IF(DAY(NovSun1)=1,NovSun1+31,NovSun1+38)</f>
        <v>44167</v>
      </c>
      <c r="F8" s="44">
        <f>IF(DAY(NovSun1)=1,NovSun1+32,NovSun1+39)</f>
        <v>44168</v>
      </c>
      <c r="G8" s="44">
        <f>IF(DAY(NovSun1)=1,NovSun1+33,NovSun1+40)</f>
        <v>44169</v>
      </c>
      <c r="H8" s="44">
        <f>IF(DAY(NovSun1)=1,NovSun1+34,NovSun1+41)</f>
        <v>44170</v>
      </c>
      <c r="I8" s="44">
        <f>IF(DAY(NovSun1)=1,NovSun1+35,NovSun1+42)</f>
        <v>44171</v>
      </c>
      <c r="J8" s="40" t="s">
        <v>28</v>
      </c>
      <c r="K8" s="86"/>
    </row>
    <row r="9" spans="1:11" ht="18" x14ac:dyDescent="0.4">
      <c r="A9" s="4"/>
      <c r="B9" s="58"/>
      <c r="C9" s="68"/>
      <c r="D9" s="68"/>
      <c r="E9" s="68"/>
      <c r="F9" s="68"/>
      <c r="G9" s="68"/>
      <c r="H9" s="68"/>
      <c r="I9" s="68"/>
      <c r="J9" s="89">
        <v>44144</v>
      </c>
      <c r="K9" s="93" t="s">
        <v>59</v>
      </c>
    </row>
    <row r="10" spans="1:11" ht="30" customHeight="1" x14ac:dyDescent="0.4">
      <c r="A10" s="4"/>
      <c r="B10" s="79" t="s">
        <v>3</v>
      </c>
      <c r="C10" s="80"/>
      <c r="D10" s="80"/>
      <c r="E10" s="80"/>
      <c r="F10" s="80"/>
      <c r="G10" s="80"/>
      <c r="H10" s="80"/>
      <c r="I10" s="80"/>
      <c r="J10" s="91">
        <v>44146</v>
      </c>
      <c r="K10" s="94" t="s">
        <v>61</v>
      </c>
    </row>
    <row r="11" spans="1:11" ht="38.25" customHeight="1" x14ac:dyDescent="0.4">
      <c r="A11" s="10" t="s">
        <v>25</v>
      </c>
      <c r="B11" s="34" t="s">
        <v>1</v>
      </c>
      <c r="C11" s="124" t="s">
        <v>2</v>
      </c>
      <c r="D11" s="125"/>
      <c r="E11" s="124" t="s">
        <v>4</v>
      </c>
      <c r="F11" s="125"/>
      <c r="G11" s="124" t="s">
        <v>5</v>
      </c>
      <c r="H11" s="125"/>
      <c r="I11" s="35" t="s">
        <v>6</v>
      </c>
      <c r="J11" s="54"/>
      <c r="K11" s="86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54"/>
      <c r="K12" s="95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61"/>
      <c r="K13" s="86"/>
    </row>
    <row r="14" spans="1:11" ht="49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41" t="s">
        <v>29</v>
      </c>
      <c r="K14" s="86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82">
        <v>44155</v>
      </c>
      <c r="K15" s="96" t="s">
        <v>60</v>
      </c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91">
        <v>44153</v>
      </c>
      <c r="K16" s="94" t="s">
        <v>61</v>
      </c>
    </row>
    <row r="17" spans="1:11" ht="42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86"/>
    </row>
    <row r="18" spans="1:11" ht="43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86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61"/>
      <c r="K19" s="86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86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54"/>
      <c r="K21" s="86"/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86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86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86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61"/>
      <c r="K25" s="97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43" t="s">
        <v>36</v>
      </c>
      <c r="K26" s="86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54"/>
      <c r="K27" s="86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54"/>
      <c r="K28" s="86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54"/>
      <c r="K29" s="86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54"/>
      <c r="K30" s="86"/>
    </row>
    <row r="31" spans="1:11" ht="30" customHeight="1" x14ac:dyDescent="0.4">
      <c r="A31" s="10" t="s">
        <v>24</v>
      </c>
      <c r="B31" s="20"/>
      <c r="C31" s="126"/>
      <c r="D31" s="126"/>
      <c r="E31" s="126"/>
      <c r="F31" s="126"/>
      <c r="G31" s="126"/>
      <c r="H31" s="126"/>
      <c r="I31" s="21"/>
      <c r="J31" s="54"/>
      <c r="K31" s="98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23" priority="6" stopIfTrue="1">
      <formula>DAY(C3)&gt;8</formula>
    </cfRule>
  </conditionalFormatting>
  <conditionalFormatting sqref="C7:I8">
    <cfRule type="expression" dxfId="22" priority="5" stopIfTrue="1">
      <formula>AND(DAY(C7)&gt;=1,DAY(C7)&lt;=15)</formula>
    </cfRule>
  </conditionalFormatting>
  <conditionalFormatting sqref="C3:I8">
    <cfRule type="expression" dxfId="21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20" priority="4">
      <formula>B13&lt;&gt;""</formula>
    </cfRule>
  </conditionalFormatting>
  <conditionalFormatting sqref="B12:I12 B14:I14 B16:I16 B18:I18 B20:I20 B22:I22 B24:I24 B26:I26 B28:I28 B30:I30">
    <cfRule type="expression" dxfId="19" priority="3">
      <formula>B12&lt;&gt;""</formula>
    </cfRule>
  </conditionalFormatting>
  <conditionalFormatting sqref="B13:I13 B15:I15 B17:I17 B19:I19 B21:I21 B23:I23 B25:I25 B27:I27 B29:I29">
    <cfRule type="expression" dxfId="18" priority="2">
      <formula>COLUMN(B13)&gt;=2</formula>
    </cfRule>
  </conditionalFormatting>
  <conditionalFormatting sqref="B12:I31">
    <cfRule type="expression" dxfId="17" priority="1">
      <formula>COLUMN(B12)&gt;2</formula>
    </cfRule>
  </conditionalFormatting>
  <dataValidations xWindow="136" yWindow="382" count="12">
    <dataValidation allowBlank="1" showInputMessage="1" showErrorMessage="1" prompt="Enter class in this row from columns B to I" sqref="B13" xr:uid="{00000000-0002-0000-0A00-000000000000}"/>
    <dataValidation allowBlank="1" showInputMessage="1" showErrorMessage="1" prompt="Enter time in this row  from columns B to I" sqref="B12" xr:uid="{00000000-0002-0000-0A00-000001000000}"/>
    <dataValidation allowBlank="1" showInputMessage="1" showErrorMessage="1" prompt="If this row contains a number less than the previous number or row of numbers, then this row contains dates for the next calendar month" sqref="C8" xr:uid="{00000000-0002-0000-0A00-000002000000}"/>
    <dataValidation allowBlank="1" showInputMessage="1" showErrorMessage="1" prompt="If this cell doesn’t contain the number 1, then it is a day from a previous month. Cells C3:I8 contain dates for the current month" sqref="C3" xr:uid="{00000000-0002-0000-0A00-000003000000}"/>
    <dataValidation allowBlank="1" showInputMessage="1" showErrorMessage="1" prompt="Cells C2:I2 contain weekdays" sqref="C2" xr:uid="{00000000-0002-0000-0A00-000004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A00-000005000000}"/>
    <dataValidation allowBlank="1" showInputMessage="1" showErrorMessage="1" prompt="Automatically updated calendar year. To change the year, update cell B1 on Jan worksheet" sqref="B1" xr:uid="{00000000-0002-0000-0A00-000006000000}"/>
    <dataValidation allowBlank="1" showInputMessage="1" showErrorMessage="1" prompt="November calendar automatically highlights assignment list entries for the month. Darker fonts are assignments. Lighter fonts are days that belong to the previous or next month" sqref="B2" xr:uid="{00000000-0002-0000-0A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A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A00-000009000000}"/>
    <dataValidation allowBlank="1" showInputMessage="1" showErrorMessage="1" prompt="Weekdays are in this row, from Monday to Friday" sqref="B11" xr:uid="{00000000-0002-0000-0A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A00-00000C000000}"/>
  </dataValidations>
  <printOptions horizontalCentered="1" verticalCentered="1"/>
  <pageMargins left="0.5" right="0.5" top="0.5" bottom="0.5" header="0.3" footer="0.3"/>
  <pageSetup scale="58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pageSetUpPr fitToPage="1"/>
  </sheetPr>
  <dimension ref="A1:K31"/>
  <sheetViews>
    <sheetView showGridLines="0" topLeftCell="C1" zoomScale="90" zoomScaleNormal="90" zoomScalePageLayoutView="84" workbookViewId="0">
      <selection activeCell="K20" sqref="K20"/>
    </sheetView>
  </sheetViews>
  <sheetFormatPr defaultColWidth="8.58203125" defaultRowHeight="30" customHeight="1" x14ac:dyDescent="0.4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67" customWidth="1"/>
    <col min="11" max="11" width="70.58203125" style="99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1"/>
      <c r="E1" s="121"/>
      <c r="F1" s="121"/>
      <c r="G1" s="121"/>
      <c r="H1" s="121"/>
      <c r="I1" s="121"/>
      <c r="J1" s="52" t="s">
        <v>33</v>
      </c>
      <c r="K1" s="53" t="s">
        <v>26</v>
      </c>
    </row>
    <row r="2" spans="1:11" ht="30" customHeight="1" x14ac:dyDescent="0.4">
      <c r="A2" s="4"/>
      <c r="B2" s="60" t="s">
        <v>17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86"/>
    </row>
    <row r="3" spans="1:11" ht="18" x14ac:dyDescent="0.4">
      <c r="A3" s="4"/>
      <c r="B3" s="58"/>
      <c r="C3" s="44">
        <f>IF(DAY(DecSun1)=1,DecSun1-6,DecSun1+1)</f>
        <v>44165</v>
      </c>
      <c r="D3" s="44">
        <f>IF(DAY(DecSun1)=1,DecSun1-5,DecSun1+2)</f>
        <v>44166</v>
      </c>
      <c r="E3" s="44">
        <f>IF(DAY(DecSun1)=1,DecSun1-4,DecSun1+3)</f>
        <v>44167</v>
      </c>
      <c r="F3" s="44">
        <f>IF(DAY(DecSun1)=1,DecSun1-3,DecSun1+4)</f>
        <v>44168</v>
      </c>
      <c r="G3" s="44">
        <f>IF(DAY(DecSun1)=1,DecSun1-2,DecSun1+5)</f>
        <v>44169</v>
      </c>
      <c r="H3" s="44">
        <f>IF(DAY(DecSun1)=1,DecSun1-1,DecSun1+6)</f>
        <v>44170</v>
      </c>
      <c r="I3" s="44">
        <f>IF(DAY(DecSun1)=1,DecSun1,DecSun1+7)</f>
        <v>44171</v>
      </c>
      <c r="J3" s="77"/>
      <c r="K3" s="86"/>
    </row>
    <row r="4" spans="1:11" ht="30" customHeight="1" x14ac:dyDescent="0.4">
      <c r="A4" s="4"/>
      <c r="B4" s="58"/>
      <c r="C4" s="44">
        <f>IF(DAY(DecSun1)=1,DecSun1+1,DecSun1+8)</f>
        <v>44172</v>
      </c>
      <c r="D4" s="44">
        <f>IF(DAY(DecSun1)=1,DecSun1+2,DecSun1+9)</f>
        <v>44173</v>
      </c>
      <c r="E4" s="44">
        <f>IF(DAY(DecSun1)=1,DecSun1+3,DecSun1+10)</f>
        <v>44174</v>
      </c>
      <c r="F4" s="44">
        <f>IF(DAY(DecSun1)=1,DecSun1+4,DecSun1+11)</f>
        <v>44175</v>
      </c>
      <c r="G4" s="44">
        <f>IF(DAY(DecSun1)=1,DecSun1+5,DecSun1+12)</f>
        <v>44176</v>
      </c>
      <c r="H4" s="44">
        <f>IF(DAY(DecSun1)=1,DecSun1+6,DecSun1+13)</f>
        <v>44177</v>
      </c>
      <c r="I4" s="44">
        <f>IF(DAY(DecSun1)=1,DecSun1+7,DecSun1+14)</f>
        <v>44178</v>
      </c>
      <c r="J4" s="54"/>
      <c r="K4" s="86"/>
    </row>
    <row r="5" spans="1:11" ht="30" customHeight="1" x14ac:dyDescent="0.4">
      <c r="A5" s="4"/>
      <c r="B5" s="58"/>
      <c r="C5" s="44">
        <f>IF(DAY(DecSun1)=1,DecSun1+8,DecSun1+15)</f>
        <v>44179</v>
      </c>
      <c r="D5" s="44">
        <f>IF(DAY(DecSun1)=1,DecSun1+9,DecSun1+16)</f>
        <v>44180</v>
      </c>
      <c r="E5" s="44">
        <f>IF(DAY(DecSun1)=1,DecSun1+10,DecSun1+17)</f>
        <v>44181</v>
      </c>
      <c r="F5" s="44">
        <f>IF(DAY(DecSun1)=1,DecSun1+11,DecSun1+18)</f>
        <v>44182</v>
      </c>
      <c r="G5" s="44">
        <f>IF(DAY(DecSun1)=1,DecSun1+12,DecSun1+19)</f>
        <v>44183</v>
      </c>
      <c r="H5" s="44">
        <f>IF(DAY(DecSun1)=1,DecSun1+13,DecSun1+20)</f>
        <v>44184</v>
      </c>
      <c r="I5" s="44">
        <f>IF(DAY(DecSun1)=1,DecSun1+14,DecSun1+21)</f>
        <v>44185</v>
      </c>
      <c r="J5" s="54"/>
      <c r="K5" s="100"/>
    </row>
    <row r="6" spans="1:11" ht="30" customHeight="1" x14ac:dyDescent="0.4">
      <c r="A6" s="4"/>
      <c r="B6" s="58"/>
      <c r="C6" s="44">
        <f>IF(DAY(DecSun1)=1,DecSun1+15,DecSun1+22)</f>
        <v>44186</v>
      </c>
      <c r="D6" s="44">
        <f>IF(DAY(DecSun1)=1,DecSun1+16,DecSun1+23)</f>
        <v>44187</v>
      </c>
      <c r="E6" s="44">
        <f>IF(DAY(DecSun1)=1,DecSun1+17,DecSun1+24)</f>
        <v>44188</v>
      </c>
      <c r="F6" s="44">
        <f>IF(DAY(DecSun1)=1,DecSun1+18,DecSun1+25)</f>
        <v>44189</v>
      </c>
      <c r="G6" s="44">
        <f>IF(DAY(DecSun1)=1,DecSun1+19,DecSun1+26)</f>
        <v>44190</v>
      </c>
      <c r="H6" s="44">
        <f>IF(DAY(DecSun1)=1,DecSun1+20,DecSun1+27)</f>
        <v>44191</v>
      </c>
      <c r="I6" s="44">
        <f>IF(DAY(DecSun1)=1,DecSun1+21,DecSun1+28)</f>
        <v>44192</v>
      </c>
      <c r="J6" s="54"/>
      <c r="K6" s="86"/>
    </row>
    <row r="7" spans="1:11" ht="30" customHeight="1" x14ac:dyDescent="0.4">
      <c r="A7" s="4"/>
      <c r="B7" s="58"/>
      <c r="C7" s="44">
        <f>IF(DAY(DecSun1)=1,DecSun1+22,DecSun1+29)</f>
        <v>44193</v>
      </c>
      <c r="D7" s="44">
        <f>IF(DAY(DecSun1)=1,DecSun1+23,DecSun1+30)</f>
        <v>44194</v>
      </c>
      <c r="E7" s="44">
        <f>IF(DAY(DecSun1)=1,DecSun1+24,DecSun1+31)</f>
        <v>44195</v>
      </c>
      <c r="F7" s="44">
        <f>IF(DAY(DecSun1)=1,DecSun1+25,DecSun1+32)</f>
        <v>44196</v>
      </c>
      <c r="G7" s="44">
        <f>IF(DAY(DecSun1)=1,DecSun1+26,DecSun1+33)</f>
        <v>44197</v>
      </c>
      <c r="H7" s="44">
        <f>IF(DAY(DecSun1)=1,DecSun1+27,DecSun1+34)</f>
        <v>44198</v>
      </c>
      <c r="I7" s="44">
        <f>IF(DAY(DecSun1)=1,DecSun1+28,DecSun1+35)</f>
        <v>44199</v>
      </c>
      <c r="J7" s="55"/>
      <c r="K7" s="101"/>
    </row>
    <row r="8" spans="1:11" ht="30" customHeight="1" x14ac:dyDescent="0.4">
      <c r="A8" s="4"/>
      <c r="B8" s="59"/>
      <c r="C8" s="44">
        <f>IF(DAY(DecSun1)=1,DecSun1+29,DecSun1+36)</f>
        <v>44200</v>
      </c>
      <c r="D8" s="44">
        <f>IF(DAY(DecSun1)=1,DecSun1+30,DecSun1+37)</f>
        <v>44201</v>
      </c>
      <c r="E8" s="44">
        <f>IF(DAY(DecSun1)=1,DecSun1+31,DecSun1+38)</f>
        <v>44202</v>
      </c>
      <c r="F8" s="44">
        <f>IF(DAY(DecSun1)=1,DecSun1+32,DecSun1+39)</f>
        <v>44203</v>
      </c>
      <c r="G8" s="44">
        <f>IF(DAY(DecSun1)=1,DecSun1+33,DecSun1+40)</f>
        <v>44204</v>
      </c>
      <c r="H8" s="44">
        <f>IF(DAY(DecSun1)=1,DecSun1+34,DecSun1+41)</f>
        <v>44205</v>
      </c>
      <c r="I8" s="44">
        <f>IF(DAY(DecSun1)=1,DecSun1+35,DecSun1+42)</f>
        <v>44206</v>
      </c>
      <c r="J8" s="40" t="s">
        <v>28</v>
      </c>
      <c r="K8" s="86"/>
    </row>
    <row r="9" spans="1:11" ht="30" customHeight="1" x14ac:dyDescent="0.4">
      <c r="A9" s="4"/>
      <c r="B9" s="58"/>
      <c r="C9" s="68"/>
      <c r="D9" s="68"/>
      <c r="E9" s="68"/>
      <c r="F9" s="68"/>
      <c r="G9" s="68"/>
      <c r="H9" s="68"/>
      <c r="I9" s="68"/>
      <c r="J9" s="54"/>
      <c r="K9" s="84"/>
    </row>
    <row r="10" spans="1:11" ht="30" customHeight="1" x14ac:dyDescent="0.4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54"/>
      <c r="K10" s="86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54"/>
      <c r="K11" s="86"/>
    </row>
    <row r="12" spans="1:11" ht="30" customHeight="1" x14ac:dyDescent="0.4">
      <c r="A12" s="10" t="s">
        <v>23</v>
      </c>
      <c r="B12" s="63"/>
      <c r="C12" s="123"/>
      <c r="D12" s="123"/>
      <c r="E12" s="123"/>
      <c r="F12" s="123"/>
      <c r="G12" s="123"/>
      <c r="H12" s="123"/>
      <c r="I12" s="64"/>
      <c r="J12" s="54"/>
      <c r="K12" s="86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55"/>
      <c r="K13" s="101"/>
    </row>
    <row r="14" spans="1:11" ht="30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41" t="s">
        <v>29</v>
      </c>
      <c r="K14" s="86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54"/>
      <c r="K15" s="86"/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54"/>
      <c r="K16" s="86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86"/>
    </row>
    <row r="18" spans="1:11" ht="30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86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55"/>
      <c r="K19" s="101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86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54"/>
      <c r="K21" s="86" t="s">
        <v>62</v>
      </c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86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86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86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55"/>
      <c r="K25" s="101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43" t="s">
        <v>36</v>
      </c>
      <c r="K26" s="86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77"/>
      <c r="K27" s="86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54"/>
      <c r="K28" s="86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54"/>
      <c r="K29" s="86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54"/>
      <c r="K30" s="102"/>
    </row>
    <row r="31" spans="1:11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55"/>
      <c r="K31" s="103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12" priority="6" stopIfTrue="1">
      <formula>DAY(C3)&gt;8</formula>
    </cfRule>
  </conditionalFormatting>
  <conditionalFormatting sqref="C7:I8">
    <cfRule type="expression" dxfId="11" priority="5" stopIfTrue="1">
      <formula>AND(DAY(C7)&gt;=1,DAY(C7)&lt;=15)</formula>
    </cfRule>
  </conditionalFormatting>
  <conditionalFormatting sqref="C3:I8">
    <cfRule type="expression" dxfId="10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9" priority="4">
      <formula>B13&lt;&gt;""</formula>
    </cfRule>
  </conditionalFormatting>
  <conditionalFormatting sqref="B12:I12 B14:I14 B16:I16 B18:I18 B20:I20 B22:I22 B24:I24 B26:I26 B28:I28 B30:I30">
    <cfRule type="expression" dxfId="8" priority="3">
      <formula>B12&lt;&gt;""</formula>
    </cfRule>
  </conditionalFormatting>
  <conditionalFormatting sqref="B13:I13 B15:I15 B17:I17 B19:I19 B21:I21 B23:I23 B25:I25 B27:I27 B29:I29">
    <cfRule type="expression" dxfId="7" priority="2">
      <formula>COLUMN(B13)&gt;=2</formula>
    </cfRule>
  </conditionalFormatting>
  <conditionalFormatting sqref="B12:I31">
    <cfRule type="expression" dxfId="6" priority="1">
      <formula>COLUMN(B12)&gt;2</formula>
    </cfRule>
  </conditionalFormatting>
  <dataValidations xWindow="282" yWindow="695" count="12">
    <dataValidation allowBlank="1" showInputMessage="1" showErrorMessage="1" prompt="December calendar automatically highlights assignment list entries for the month. Darker fonts are assignments. Lighter fonts are days that belong to the previous or next month" sqref="B2" xr:uid="{00000000-0002-0000-0B00-000000000000}"/>
    <dataValidation allowBlank="1" showInputMessage="1" showErrorMessage="1" prompt="Automatically updated calendar year. To change the year, update cell B1 on Jan worksheet" sqref="B1" xr:uid="{00000000-0002-0000-0B00-000001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B00-000002000000}"/>
    <dataValidation allowBlank="1" showInputMessage="1" showErrorMessage="1" prompt="Cells C2:I2 contain weekdays" sqref="C2" xr:uid="{00000000-0002-0000-0B00-000003000000}"/>
    <dataValidation allowBlank="1" showInputMessage="1" showErrorMessage="1" prompt="If this cell doesn’t contain the number 1, then it is a day from a previous month. Cells C3:I8 contain dates for the current month" sqref="C3" xr:uid="{00000000-0002-0000-0B00-000004000000}"/>
    <dataValidation allowBlank="1" showInputMessage="1" showErrorMessage="1" prompt="If this row contains a number less than the previous number or row of numbers, then this row contains dates for the next calendar month" sqref="C8" xr:uid="{00000000-0002-0000-0B00-000005000000}"/>
    <dataValidation allowBlank="1" showInputMessage="1" showErrorMessage="1" prompt="Enter time in this row  from columns B to I" sqref="B12" xr:uid="{00000000-0002-0000-0B00-000006000000}"/>
    <dataValidation allowBlank="1" showInputMessage="1" showErrorMessage="1" prompt="Enter class in this row from columns B to I" sqref="B13" xr:uid="{00000000-0002-0000-0B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B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B00-000009000000}"/>
    <dataValidation allowBlank="1" showInputMessage="1" showErrorMessage="1" prompt="Weekdays are in this row, from Monday to Friday" sqref="B11" xr:uid="{00000000-0002-0000-0B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B00-00000C000000}"/>
  </dataValidations>
  <printOptions horizontalCentered="1" verticalCentered="1"/>
  <pageMargins left="0.5" right="0.5" top="0.5" bottom="0.5" header="0.3" footer="0.3"/>
  <pageSetup scale="5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K31"/>
  <sheetViews>
    <sheetView showGridLines="0" zoomScale="90" zoomScaleNormal="90" zoomScalePageLayoutView="84" workbookViewId="0">
      <selection activeCell="I2" sqref="C2:I2"/>
    </sheetView>
  </sheetViews>
  <sheetFormatPr defaultColWidth="8.58203125" defaultRowHeight="30" customHeight="1" x14ac:dyDescent="0.3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23" customWidth="1"/>
    <col min="11" max="11" width="70.58203125" style="107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19" t="s">
        <v>35</v>
      </c>
      <c r="D1" s="119"/>
      <c r="E1" s="119"/>
      <c r="F1" s="119"/>
      <c r="G1" s="119"/>
      <c r="H1" s="119"/>
      <c r="I1" s="119"/>
      <c r="J1" s="52" t="s">
        <v>32</v>
      </c>
      <c r="K1" s="53" t="s">
        <v>26</v>
      </c>
    </row>
    <row r="2" spans="1:11" ht="30" customHeight="1" x14ac:dyDescent="0.4">
      <c r="A2" s="4"/>
      <c r="B2" s="57" t="s">
        <v>7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102" t="s">
        <v>39</v>
      </c>
    </row>
    <row r="3" spans="1:11" ht="30" customHeight="1" x14ac:dyDescent="0.4">
      <c r="A3" s="4"/>
      <c r="B3" s="58"/>
      <c r="C3" s="44">
        <f>IF(DAY(FebSun1)=1,FebSun1-6,FebSun1+1)</f>
        <v>43857</v>
      </c>
      <c r="D3" s="44">
        <f>IF(DAY(FebSun1)=1,FebSun1-5,FebSun1+2)</f>
        <v>43858</v>
      </c>
      <c r="E3" s="44">
        <f>IF(DAY(FebSun1)=1,FebSun1-4,FebSun1+3)</f>
        <v>43859</v>
      </c>
      <c r="F3" s="44">
        <f>IF(DAY(FebSun1)=1,FebSun1-3,FebSun1+4)</f>
        <v>43860</v>
      </c>
      <c r="G3" s="44">
        <f>IF(DAY(FebSun1)=1,FebSun1-2,FebSun1+5)</f>
        <v>43861</v>
      </c>
      <c r="H3" s="44">
        <f>IF(DAY(FebSun1)=1,FebSun1-1,FebSun1+6)</f>
        <v>43862</v>
      </c>
      <c r="I3" s="44">
        <f>IF(DAY(FebSun1)=1,FebSun1,FebSun1+7)</f>
        <v>43863</v>
      </c>
      <c r="J3" s="54"/>
      <c r="K3" s="102" t="s">
        <v>40</v>
      </c>
    </row>
    <row r="4" spans="1:11" ht="30" customHeight="1" x14ac:dyDescent="0.4">
      <c r="A4" s="4"/>
      <c r="B4" s="58"/>
      <c r="C4" s="44">
        <f>IF(DAY(FebSun1)=1,FebSun1+1,FebSun1+8)</f>
        <v>43864</v>
      </c>
      <c r="D4" s="44">
        <f>IF(DAY(FebSun1)=1,FebSun1+2,FebSun1+9)</f>
        <v>43865</v>
      </c>
      <c r="E4" s="44">
        <f>IF(DAY(FebSun1)=1,FebSun1+3,FebSun1+10)</f>
        <v>43866</v>
      </c>
      <c r="F4" s="44">
        <f>IF(DAY(FebSun1)=1,FebSun1+4,FebSun1+11)</f>
        <v>43867</v>
      </c>
      <c r="G4" s="44">
        <f>IF(DAY(FebSun1)=1,FebSun1+5,FebSun1+12)</f>
        <v>43868</v>
      </c>
      <c r="H4" s="44">
        <f>IF(DAY(FebSun1)=1,FebSun1+6,FebSun1+13)</f>
        <v>43869</v>
      </c>
      <c r="I4" s="44">
        <f>IF(DAY(FebSun1)=1,FebSun1+7,FebSun1+14)</f>
        <v>43870</v>
      </c>
      <c r="J4" s="54"/>
      <c r="K4" s="102"/>
    </row>
    <row r="5" spans="1:11" ht="30" customHeight="1" x14ac:dyDescent="0.4">
      <c r="A5" s="4"/>
      <c r="B5" s="58"/>
      <c r="C5" s="44">
        <f>IF(DAY(FebSun1)=1,FebSun1+8,FebSun1+15)</f>
        <v>43871</v>
      </c>
      <c r="D5" s="44">
        <f>IF(DAY(FebSun1)=1,FebSun1+9,FebSun1+16)</f>
        <v>43872</v>
      </c>
      <c r="E5" s="44">
        <f>IF(DAY(FebSun1)=1,FebSun1+10,FebSun1+17)</f>
        <v>43873</v>
      </c>
      <c r="F5" s="44">
        <f>IF(DAY(FebSun1)=1,FebSun1+11,FebSun1+18)</f>
        <v>43874</v>
      </c>
      <c r="G5" s="44">
        <f>IF(DAY(FebSun1)=1,FebSun1+12,FebSun1+19)</f>
        <v>43875</v>
      </c>
      <c r="H5" s="44">
        <f>IF(DAY(FebSun1)=1,FebSun1+13,FebSun1+20)</f>
        <v>43876</v>
      </c>
      <c r="I5" s="44">
        <f>IF(DAY(FebSun1)=1,FebSun1+14,FebSun1+21)</f>
        <v>43877</v>
      </c>
      <c r="J5" s="54"/>
      <c r="K5" s="102"/>
    </row>
    <row r="6" spans="1:11" ht="30" customHeight="1" x14ac:dyDescent="0.4">
      <c r="A6" s="4"/>
      <c r="B6" s="58"/>
      <c r="C6" s="44">
        <f>IF(DAY(FebSun1)=1,FebSun1+15,FebSun1+22)</f>
        <v>43878</v>
      </c>
      <c r="D6" s="44">
        <f>IF(DAY(FebSun1)=1,FebSun1+16,FebSun1+23)</f>
        <v>43879</v>
      </c>
      <c r="E6" s="44">
        <f>IF(DAY(FebSun1)=1,FebSun1+17,FebSun1+24)</f>
        <v>43880</v>
      </c>
      <c r="F6" s="44">
        <f>IF(DAY(FebSun1)=1,FebSun1+18,FebSun1+25)</f>
        <v>43881</v>
      </c>
      <c r="G6" s="44">
        <f>IF(DAY(FebSun1)=1,FebSun1+19,FebSun1+26)</f>
        <v>43882</v>
      </c>
      <c r="H6" s="44">
        <f>IF(DAY(FebSun1)=1,FebSun1+20,FebSun1+27)</f>
        <v>43883</v>
      </c>
      <c r="I6" s="44">
        <f>IF(DAY(FebSun1)=1,FebSun1+21,FebSun1+28)</f>
        <v>43884</v>
      </c>
      <c r="J6" s="54"/>
      <c r="K6" s="102"/>
    </row>
    <row r="7" spans="1:11" ht="30" customHeight="1" x14ac:dyDescent="0.4">
      <c r="A7" s="4"/>
      <c r="B7" s="58"/>
      <c r="C7" s="44">
        <f>IF(DAY(FebSun1)=1,FebSun1+22,FebSun1+29)</f>
        <v>43885</v>
      </c>
      <c r="D7" s="44">
        <f>IF(DAY(FebSun1)=1,FebSun1+23,FebSun1+30)</f>
        <v>43886</v>
      </c>
      <c r="E7" s="44">
        <f>IF(DAY(FebSun1)=1,FebSun1+24,FebSun1+31)</f>
        <v>43887</v>
      </c>
      <c r="F7" s="44">
        <f>IF(DAY(FebSun1)=1,FebSun1+25,FebSun1+32)</f>
        <v>43888</v>
      </c>
      <c r="G7" s="44">
        <f>IF(DAY(FebSun1)=1,FebSun1+26,FebSun1+33)</f>
        <v>43889</v>
      </c>
      <c r="H7" s="44">
        <f>IF(DAY(FebSun1)=1,FebSun1+27,FebSun1+34)</f>
        <v>43890</v>
      </c>
      <c r="I7" s="44">
        <f>IF(DAY(FebSun1)=1,FebSun1+28,FebSun1+35)</f>
        <v>43891</v>
      </c>
      <c r="J7" s="55"/>
      <c r="K7" s="103"/>
    </row>
    <row r="8" spans="1:11" ht="30" customHeight="1" x14ac:dyDescent="0.4">
      <c r="A8" s="4"/>
      <c r="B8" s="59"/>
      <c r="C8" s="44">
        <f>IF(DAY(FebSun1)=1,FebSun1+29,FebSun1+36)</f>
        <v>43892</v>
      </c>
      <c r="D8" s="44">
        <f>IF(DAY(FebSun1)=1,FebSun1+30,FebSun1+37)</f>
        <v>43893</v>
      </c>
      <c r="E8" s="44">
        <f>IF(DAY(FebSun1)=1,FebSun1+31,FebSun1+38)</f>
        <v>43894</v>
      </c>
      <c r="F8" s="44">
        <f>IF(DAY(FebSun1)=1,FebSun1+32,FebSun1+39)</f>
        <v>43895</v>
      </c>
      <c r="G8" s="44">
        <f>IF(DAY(FebSun1)=1,FebSun1+33,FebSun1+40)</f>
        <v>43896</v>
      </c>
      <c r="H8" s="44">
        <f>IF(DAY(FebSun1)=1,FebSun1+34,FebSun1+41)</f>
        <v>43897</v>
      </c>
      <c r="I8" s="44">
        <f>IF(DAY(FebSun1)=1,FebSun1+35,FebSun1+42)</f>
        <v>43898</v>
      </c>
      <c r="J8" s="40" t="s">
        <v>28</v>
      </c>
      <c r="K8" s="102"/>
    </row>
    <row r="9" spans="1:11" ht="30" customHeight="1" x14ac:dyDescent="0.4">
      <c r="A9" s="4"/>
      <c r="C9" s="2"/>
      <c r="D9" s="2"/>
      <c r="E9" s="2"/>
      <c r="F9" s="2"/>
      <c r="G9" s="2"/>
      <c r="H9" s="2"/>
      <c r="I9" s="2"/>
      <c r="J9" s="54"/>
      <c r="K9" s="102"/>
    </row>
    <row r="10" spans="1:11" ht="30" customHeight="1" x14ac:dyDescent="0.4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54"/>
      <c r="K10" s="102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54"/>
      <c r="K11" s="102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54"/>
      <c r="K12" s="102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55"/>
      <c r="K13" s="103"/>
    </row>
    <row r="14" spans="1:11" ht="30" customHeight="1" x14ac:dyDescent="0.4">
      <c r="A14" s="10" t="s">
        <v>23</v>
      </c>
      <c r="B14" s="7"/>
      <c r="C14" s="118"/>
      <c r="D14" s="118"/>
      <c r="E14" s="118"/>
      <c r="F14" s="118"/>
      <c r="G14" s="118"/>
      <c r="H14" s="118"/>
      <c r="I14" s="8"/>
      <c r="J14" s="41" t="s">
        <v>29</v>
      </c>
      <c r="K14" s="102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54"/>
      <c r="K15" s="102"/>
    </row>
    <row r="16" spans="1:11" ht="30" customHeight="1" x14ac:dyDescent="0.4">
      <c r="A16" s="10" t="s">
        <v>23</v>
      </c>
      <c r="B16" s="7"/>
      <c r="C16" s="118"/>
      <c r="D16" s="118"/>
      <c r="E16" s="118"/>
      <c r="F16" s="118"/>
      <c r="G16" s="118"/>
      <c r="H16" s="118"/>
      <c r="I16" s="9"/>
      <c r="J16" s="54"/>
      <c r="K16" s="102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102"/>
    </row>
    <row r="18" spans="1:11" ht="30" customHeight="1" x14ac:dyDescent="0.4">
      <c r="A18" s="10" t="s">
        <v>23</v>
      </c>
      <c r="B18" s="7"/>
      <c r="C18" s="118"/>
      <c r="D18" s="118"/>
      <c r="E18" s="118"/>
      <c r="F18" s="118"/>
      <c r="G18" s="118"/>
      <c r="H18" s="118"/>
      <c r="I18" s="8"/>
      <c r="J18" s="54"/>
      <c r="K18" s="102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55"/>
      <c r="K19" s="103"/>
    </row>
    <row r="20" spans="1:11" ht="30" customHeight="1" x14ac:dyDescent="0.4">
      <c r="A20" s="10" t="s">
        <v>23</v>
      </c>
      <c r="B20" s="7"/>
      <c r="C20" s="118"/>
      <c r="D20" s="118"/>
      <c r="E20" s="118"/>
      <c r="F20" s="118"/>
      <c r="G20" s="118"/>
      <c r="H20" s="118"/>
      <c r="I20" s="8"/>
      <c r="J20" s="42" t="s">
        <v>30</v>
      </c>
      <c r="K20" s="102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54"/>
      <c r="K21" s="102"/>
    </row>
    <row r="22" spans="1:11" ht="30" customHeight="1" x14ac:dyDescent="0.4">
      <c r="A22" s="10" t="s">
        <v>23</v>
      </c>
      <c r="B22" s="7"/>
      <c r="C22" s="118"/>
      <c r="D22" s="118"/>
      <c r="E22" s="118"/>
      <c r="F22" s="118"/>
      <c r="G22" s="118"/>
      <c r="H22" s="118"/>
      <c r="I22" s="8"/>
      <c r="J22" s="54"/>
      <c r="K22" s="102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102"/>
    </row>
    <row r="24" spans="1:11" ht="30" customHeight="1" x14ac:dyDescent="0.4">
      <c r="A24" s="10" t="s">
        <v>23</v>
      </c>
      <c r="B24" s="7"/>
      <c r="C24" s="118"/>
      <c r="D24" s="118"/>
      <c r="E24" s="118"/>
      <c r="F24" s="118"/>
      <c r="G24" s="118"/>
      <c r="H24" s="118"/>
      <c r="I24" s="8"/>
      <c r="J24" s="54"/>
      <c r="K24" s="102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55"/>
      <c r="K25" s="103"/>
    </row>
    <row r="26" spans="1:11" ht="30" customHeight="1" x14ac:dyDescent="0.4">
      <c r="A26" s="10" t="s">
        <v>23</v>
      </c>
      <c r="B26" s="7"/>
      <c r="C26" s="118"/>
      <c r="D26" s="118"/>
      <c r="E26" s="118"/>
      <c r="F26" s="118"/>
      <c r="G26" s="118"/>
      <c r="H26" s="118"/>
      <c r="I26" s="8"/>
      <c r="J26" s="43" t="s">
        <v>37</v>
      </c>
      <c r="K26" s="106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24"/>
      <c r="K27" s="102"/>
    </row>
    <row r="28" spans="1:11" ht="30" customHeight="1" x14ac:dyDescent="0.4">
      <c r="A28" s="10" t="s">
        <v>23</v>
      </c>
      <c r="B28" s="7"/>
      <c r="C28" s="118"/>
      <c r="D28" s="118"/>
      <c r="E28" s="118"/>
      <c r="F28" s="118"/>
      <c r="G28" s="118"/>
      <c r="H28" s="118"/>
      <c r="I28" s="8"/>
      <c r="J28" s="24"/>
      <c r="K28" s="102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24"/>
      <c r="K29" s="102"/>
    </row>
    <row r="30" spans="1:11" ht="30" customHeight="1" x14ac:dyDescent="0.4">
      <c r="A30" s="10" t="s">
        <v>23</v>
      </c>
      <c r="B30" s="7"/>
      <c r="C30" s="118"/>
      <c r="D30" s="118"/>
      <c r="E30" s="118"/>
      <c r="F30" s="118"/>
      <c r="G30" s="118"/>
      <c r="H30" s="118"/>
      <c r="I30" s="8"/>
      <c r="J30" s="24"/>
      <c r="K30" s="102"/>
    </row>
    <row r="31" spans="1:11" ht="30" customHeight="1" x14ac:dyDescent="0.4">
      <c r="A31" s="10" t="s">
        <v>24</v>
      </c>
      <c r="B31" s="19"/>
      <c r="C31" s="120"/>
      <c r="D31" s="120"/>
      <c r="E31" s="120"/>
      <c r="F31" s="120"/>
      <c r="G31" s="120"/>
      <c r="H31" s="120"/>
      <c r="I31" s="15"/>
      <c r="J31" s="24"/>
      <c r="K31" s="102"/>
    </row>
  </sheetData>
  <mergeCells count="64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7:D17"/>
    <mergeCell ref="E17:F17"/>
    <mergeCell ref="G17:H17"/>
    <mergeCell ref="C18:D18"/>
    <mergeCell ref="E18:F18"/>
    <mergeCell ref="G18:H18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22:D22"/>
    <mergeCell ref="E22:F22"/>
    <mergeCell ref="G22:H22"/>
    <mergeCell ref="C23:D23"/>
    <mergeCell ref="E23:F23"/>
    <mergeCell ref="G23:H23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1:I1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</mergeCells>
  <conditionalFormatting sqref="C3:H3">
    <cfRule type="expression" dxfId="121" priority="9" stopIfTrue="1">
      <formula>DAY(C3)&gt;8</formula>
    </cfRule>
  </conditionalFormatting>
  <conditionalFormatting sqref="C7:I8">
    <cfRule type="expression" dxfId="120" priority="8" stopIfTrue="1">
      <formula>AND(DAY(C7)&gt;=1,DAY(C7)&lt;=15)</formula>
    </cfRule>
  </conditionalFormatting>
  <conditionalFormatting sqref="C3:I8">
    <cfRule type="expression" dxfId="119" priority="10">
      <formula>VLOOKUP(DAY(C3),AssignmentDays,1,FALSE)=DAY(C3)</formula>
    </cfRule>
  </conditionalFormatting>
  <conditionalFormatting sqref="B13:I13 B15:I15 B17:I17 B19:I19 B21:I21 B23:I23 B25:I25 B27:I27 B29:I29 B31:I31">
    <cfRule type="expression" dxfId="118" priority="7">
      <formula>B13&lt;&gt;""</formula>
    </cfRule>
  </conditionalFormatting>
  <conditionalFormatting sqref="B12:I12 B14:I14 B16:I16 B18:I18 B20:I20 B22:I22 B24:I24 B26:I26 B28:I28 B30:I30">
    <cfRule type="expression" dxfId="117" priority="6">
      <formula>B12&lt;&gt;""</formula>
    </cfRule>
  </conditionalFormatting>
  <conditionalFormatting sqref="B13:I13 B15:I15 B17:I17 B19:I19 B21:I21 B23:I23 B25:I25 B27:I27 B29:I29">
    <cfRule type="expression" dxfId="116" priority="4">
      <formula>COLUMN(B12)&gt;=2</formula>
    </cfRule>
  </conditionalFormatting>
  <conditionalFormatting sqref="B12:I31">
    <cfRule type="expression" dxfId="115" priority="1">
      <formula>COLUMN(B12)&gt;2</formula>
    </cfRule>
  </conditionalFormatting>
  <dataValidations xWindow="95" yWindow="532" count="12">
    <dataValidation allowBlank="1" showInputMessage="1" showErrorMessage="1" prompt="February calendar automatically highlights assignment list entries for the month. Darker fonts are assignments. Lighter fonts are days that belong to the previous or next month" sqref="B2" xr:uid="{00000000-0002-0000-0100-000000000000}"/>
    <dataValidation allowBlank="1" showInputMessage="1" showErrorMessage="1" prompt="Automatically updated calendar year. To change the year, update cell B1 on Jan worksheet" sqref="B1" xr:uid="{00000000-0002-0000-0100-000001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100-000002000000}"/>
    <dataValidation allowBlank="1" showInputMessage="1" showErrorMessage="1" prompt="Cells C2:I2 contain weekdays" sqref="C2" xr:uid="{00000000-0002-0000-0100-000003000000}"/>
    <dataValidation allowBlank="1" showInputMessage="1" showErrorMessage="1" prompt="If this cell doesn’t contain the number 1, then it is a day from a previous month. Cells C3:I8 contain dates for the current month" sqref="C3" xr:uid="{00000000-0002-0000-0100-000004000000}"/>
    <dataValidation allowBlank="1" showInputMessage="1" showErrorMessage="1" prompt="If this row contains a number less than the previous number or row of numbers, then this row contains dates for the next calendar month" sqref="C8" xr:uid="{00000000-0002-0000-0100-000005000000}"/>
    <dataValidation allowBlank="1" showInputMessage="1" showErrorMessage="1" prompt="Enter time in this row  from columns B to I" sqref="B12" xr:uid="{00000000-0002-0000-0100-000006000000}"/>
    <dataValidation allowBlank="1" showInputMessage="1" showErrorMessage="1" prompt="Enter class in this row from columns B to I" sqref="B13" xr:uid="{00000000-0002-0000-01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1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100-000009000000}"/>
    <dataValidation allowBlank="1" showInputMessage="1" showErrorMessage="1" prompt="Weekdays are in this row, from Monday to Friday" sqref="B11" xr:uid="{00000000-0002-0000-01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100-00000C000000}"/>
  </dataValidations>
  <printOptions horizontalCentered="1" verticalCentered="1"/>
  <pageMargins left="0.5" right="0.5" top="0.5" bottom="0.5" header="0.3" footer="0.3"/>
  <pageSetup scale="6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K31"/>
  <sheetViews>
    <sheetView showGridLines="0" topLeftCell="B1" zoomScale="90" zoomScaleNormal="90" zoomScalePageLayoutView="84" workbookViewId="0">
      <selection activeCell="C2" sqref="C2:I2"/>
    </sheetView>
  </sheetViews>
  <sheetFormatPr defaultColWidth="8.58203125" defaultRowHeight="30" customHeight="1" x14ac:dyDescent="0.3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23" customWidth="1"/>
    <col min="11" max="11" width="70.58203125" style="107" customWidth="1"/>
    <col min="12" max="12" width="2.58203125" customWidth="1"/>
  </cols>
  <sheetData>
    <row r="1" spans="1:11" s="32" customFormat="1" ht="90" customHeight="1" x14ac:dyDescent="0.4">
      <c r="B1" s="51">
        <f>CalendarYear</f>
        <v>2020</v>
      </c>
      <c r="C1" s="121" t="s">
        <v>35</v>
      </c>
      <c r="D1" s="122"/>
      <c r="E1" s="122"/>
      <c r="F1" s="122"/>
      <c r="G1" s="122"/>
      <c r="H1" s="122"/>
      <c r="I1" s="122"/>
      <c r="J1" s="52" t="s">
        <v>32</v>
      </c>
      <c r="K1" s="33" t="s">
        <v>26</v>
      </c>
    </row>
    <row r="2" spans="1:11" ht="30" customHeight="1" x14ac:dyDescent="0.4">
      <c r="A2" s="4"/>
      <c r="B2" s="60" t="s">
        <v>8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102"/>
    </row>
    <row r="3" spans="1:11" ht="30" customHeight="1" x14ac:dyDescent="0.4">
      <c r="A3" s="4"/>
      <c r="B3" s="58"/>
      <c r="C3" s="44">
        <f>IF(DAY(MarSun1)=1,MarSun1-6,MarSun1+1)</f>
        <v>43885</v>
      </c>
      <c r="D3" s="44">
        <f>IF(DAY(MarSun1)=1,MarSun1-5,MarSun1+2)</f>
        <v>43886</v>
      </c>
      <c r="E3" s="44">
        <f>IF(DAY(MarSun1)=1,MarSun1-4,MarSun1+3)</f>
        <v>43887</v>
      </c>
      <c r="F3" s="44">
        <f>IF(DAY(MarSun1)=1,MarSun1-3,MarSun1+4)</f>
        <v>43888</v>
      </c>
      <c r="G3" s="44">
        <f>IF(DAY(MarSun1)=1,MarSun1-2,MarSun1+5)</f>
        <v>43889</v>
      </c>
      <c r="H3" s="44">
        <f>IF(DAY(MarSun1)=1,MarSun1-1,MarSun1+6)</f>
        <v>43890</v>
      </c>
      <c r="I3" s="44">
        <f>IF(DAY(MarSun1)=1,MarSun1,MarSun1+7)</f>
        <v>43891</v>
      </c>
      <c r="J3" s="54"/>
      <c r="K3" s="102"/>
    </row>
    <row r="4" spans="1:11" ht="30" customHeight="1" x14ac:dyDescent="0.4">
      <c r="A4" s="4"/>
      <c r="B4" s="58"/>
      <c r="C4" s="44">
        <f>IF(DAY(MarSun1)=1,MarSun1+1,MarSun1+8)</f>
        <v>43892</v>
      </c>
      <c r="D4" s="44">
        <f>IF(DAY(MarSun1)=1,MarSun1+2,MarSun1+9)</f>
        <v>43893</v>
      </c>
      <c r="E4" s="44">
        <f>IF(DAY(MarSun1)=1,MarSun1+3,MarSun1+10)</f>
        <v>43894</v>
      </c>
      <c r="F4" s="44">
        <f>IF(DAY(MarSun1)=1,MarSun1+4,MarSun1+11)</f>
        <v>43895</v>
      </c>
      <c r="G4" s="44">
        <f>IF(DAY(MarSun1)=1,MarSun1+5,MarSun1+12)</f>
        <v>43896</v>
      </c>
      <c r="H4" s="44">
        <f>IF(DAY(MarSun1)=1,MarSun1+6,MarSun1+13)</f>
        <v>43897</v>
      </c>
      <c r="I4" s="44">
        <f>IF(DAY(MarSun1)=1,MarSun1+7,MarSun1+14)</f>
        <v>43898</v>
      </c>
      <c r="J4" s="54"/>
      <c r="K4" s="102"/>
    </row>
    <row r="5" spans="1:11" ht="30" customHeight="1" x14ac:dyDescent="0.4">
      <c r="A5" s="4"/>
      <c r="B5" s="58"/>
      <c r="C5" s="44">
        <f>IF(DAY(MarSun1)=1,MarSun1+8,MarSun1+15)</f>
        <v>43899</v>
      </c>
      <c r="D5" s="44">
        <f>IF(DAY(MarSun1)=1,MarSun1+9,MarSun1+16)</f>
        <v>43900</v>
      </c>
      <c r="E5" s="44">
        <f>IF(DAY(MarSun1)=1,MarSun1+10,MarSun1+17)</f>
        <v>43901</v>
      </c>
      <c r="F5" s="44">
        <f>IF(DAY(MarSun1)=1,MarSun1+11,MarSun1+18)</f>
        <v>43902</v>
      </c>
      <c r="G5" s="44">
        <f>IF(DAY(MarSun1)=1,MarSun1+12,MarSun1+19)</f>
        <v>43903</v>
      </c>
      <c r="H5" s="44">
        <f>IF(DAY(MarSun1)=1,MarSun1+13,MarSun1+20)</f>
        <v>43904</v>
      </c>
      <c r="I5" s="44">
        <f>IF(DAY(MarSun1)=1,MarSun1+14,MarSun1+21)</f>
        <v>43905</v>
      </c>
      <c r="J5" s="54"/>
      <c r="K5" s="102"/>
    </row>
    <row r="6" spans="1:11" ht="30" customHeight="1" x14ac:dyDescent="0.4">
      <c r="A6" s="4"/>
      <c r="B6" s="58"/>
      <c r="C6" s="44">
        <f>IF(DAY(MarSun1)=1,MarSun1+15,MarSun1+22)</f>
        <v>43906</v>
      </c>
      <c r="D6" s="44">
        <f>IF(DAY(MarSun1)=1,MarSun1+16,MarSun1+23)</f>
        <v>43907</v>
      </c>
      <c r="E6" s="44">
        <f>IF(DAY(MarSun1)=1,MarSun1+17,MarSun1+24)</f>
        <v>43908</v>
      </c>
      <c r="F6" s="44">
        <f>IF(DAY(MarSun1)=1,MarSun1+18,MarSun1+25)</f>
        <v>43909</v>
      </c>
      <c r="G6" s="44">
        <f>IF(DAY(MarSun1)=1,MarSun1+19,MarSun1+26)</f>
        <v>43910</v>
      </c>
      <c r="H6" s="44">
        <f>IF(DAY(MarSun1)=1,MarSun1+20,MarSun1+27)</f>
        <v>43911</v>
      </c>
      <c r="I6" s="44">
        <f>IF(DAY(MarSun1)=1,MarSun1+21,MarSun1+28)</f>
        <v>43912</v>
      </c>
      <c r="J6" s="54"/>
      <c r="K6" s="102"/>
    </row>
    <row r="7" spans="1:11" ht="30" customHeight="1" x14ac:dyDescent="0.4">
      <c r="A7" s="4"/>
      <c r="B7" s="58"/>
      <c r="C7" s="44">
        <f>IF(DAY(MarSun1)=1,MarSun1+22,MarSun1+29)</f>
        <v>43913</v>
      </c>
      <c r="D7" s="44">
        <f>IF(DAY(MarSun1)=1,MarSun1+23,MarSun1+30)</f>
        <v>43914</v>
      </c>
      <c r="E7" s="44">
        <f>IF(DAY(MarSun1)=1,MarSun1+24,MarSun1+31)</f>
        <v>43915</v>
      </c>
      <c r="F7" s="44">
        <f>IF(DAY(MarSun1)=1,MarSun1+25,MarSun1+32)</f>
        <v>43916</v>
      </c>
      <c r="G7" s="44">
        <f>IF(DAY(MarSun1)=1,MarSun1+26,MarSun1+33)</f>
        <v>43917</v>
      </c>
      <c r="H7" s="44">
        <f>IF(DAY(MarSun1)=1,MarSun1+27,MarSun1+34)</f>
        <v>43918</v>
      </c>
      <c r="I7" s="44">
        <f>IF(DAY(MarSun1)=1,MarSun1+28,MarSun1+35)</f>
        <v>43919</v>
      </c>
      <c r="J7" s="61"/>
      <c r="K7" s="105"/>
    </row>
    <row r="8" spans="1:11" ht="30" customHeight="1" x14ac:dyDescent="0.4">
      <c r="A8" s="4"/>
      <c r="B8" s="59"/>
      <c r="C8" s="44">
        <f>IF(DAY(MarSun1)=1,MarSun1+29,MarSun1+36)</f>
        <v>43920</v>
      </c>
      <c r="D8" s="44">
        <f>IF(DAY(MarSun1)=1,MarSun1+30,MarSun1+37)</f>
        <v>43921</v>
      </c>
      <c r="E8" s="44">
        <f>IF(DAY(MarSun1)=1,MarSun1+31,MarSun1+38)</f>
        <v>43922</v>
      </c>
      <c r="F8" s="44">
        <f>IF(DAY(MarSun1)=1,MarSun1+32,MarSun1+39)</f>
        <v>43923</v>
      </c>
      <c r="G8" s="44">
        <f>IF(DAY(MarSun1)=1,MarSun1+33,MarSun1+40)</f>
        <v>43924</v>
      </c>
      <c r="H8" s="44">
        <f>IF(DAY(MarSun1)=1,MarSun1+34,MarSun1+41)</f>
        <v>43925</v>
      </c>
      <c r="I8" s="44">
        <f>IF(DAY(MarSun1)=1,MarSun1+35,MarSun1+42)</f>
        <v>43926</v>
      </c>
      <c r="J8" s="40" t="s">
        <v>28</v>
      </c>
      <c r="K8" s="102"/>
    </row>
    <row r="9" spans="1:11" ht="30" customHeight="1" x14ac:dyDescent="0.4">
      <c r="A9" s="4"/>
      <c r="C9" s="2"/>
      <c r="D9" s="2"/>
      <c r="E9" s="2"/>
      <c r="F9" s="2"/>
      <c r="G9" s="2"/>
      <c r="H9" s="2"/>
      <c r="I9" s="2"/>
      <c r="J9" s="24"/>
      <c r="K9" s="102"/>
    </row>
    <row r="10" spans="1:11" ht="30" customHeight="1" x14ac:dyDescent="0.4">
      <c r="A10" s="4"/>
      <c r="B10" s="48" t="s">
        <v>3</v>
      </c>
      <c r="C10" s="3"/>
      <c r="D10" s="3"/>
      <c r="E10" s="3"/>
      <c r="F10" s="3"/>
      <c r="G10" s="3"/>
      <c r="H10" s="3"/>
      <c r="I10" s="3"/>
      <c r="J10" s="24"/>
      <c r="K10" s="102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24"/>
      <c r="K11" s="102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24"/>
      <c r="K12" s="102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25"/>
      <c r="K13" s="105"/>
    </row>
    <row r="14" spans="1:11" ht="30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41" t="s">
        <v>29</v>
      </c>
      <c r="K14" s="102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54"/>
      <c r="K15" s="102"/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54"/>
      <c r="K16" s="102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102"/>
    </row>
    <row r="18" spans="1:11" ht="30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102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61"/>
      <c r="K19" s="108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102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54"/>
      <c r="K21" s="102"/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102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102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102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61"/>
      <c r="K25" s="108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43" t="s">
        <v>37</v>
      </c>
      <c r="K26" s="102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54"/>
      <c r="K27" s="102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24"/>
      <c r="K28" s="102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24"/>
      <c r="K29" s="102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24"/>
      <c r="K30" s="102"/>
    </row>
    <row r="31" spans="1:11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24"/>
      <c r="K31" s="98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110" priority="6" stopIfTrue="1">
      <formula>DAY(C3)&gt;8</formula>
    </cfRule>
  </conditionalFormatting>
  <conditionalFormatting sqref="C7:I8">
    <cfRule type="expression" dxfId="109" priority="5" stopIfTrue="1">
      <formula>AND(DAY(C7)&gt;=1,DAY(C7)&lt;=15)</formula>
    </cfRule>
  </conditionalFormatting>
  <conditionalFormatting sqref="C3:I8">
    <cfRule type="expression" dxfId="108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107" priority="4">
      <formula>B13&lt;&gt;""</formula>
    </cfRule>
  </conditionalFormatting>
  <conditionalFormatting sqref="B12:I12 B14:I14 B16:I16 B18:I18 B20:I20 B22:I22 B24:I24 B26:I26 B28:I28 B30:I30">
    <cfRule type="expression" dxfId="106" priority="3">
      <formula>B12&lt;&gt;""</formula>
    </cfRule>
  </conditionalFormatting>
  <conditionalFormatting sqref="B13:I13 B15:I15 B17:I17 B19:I19 B21:I21 B23:I23 B25:I25 B27:I27 B29:I29">
    <cfRule type="expression" dxfId="105" priority="2">
      <formula>COLUMN(B12)&gt;=2</formula>
    </cfRule>
  </conditionalFormatting>
  <conditionalFormatting sqref="B12:I31">
    <cfRule type="expression" dxfId="104" priority="1">
      <formula>COLUMN(B12)&gt;2</formula>
    </cfRule>
  </conditionalFormatting>
  <dataValidations count="12">
    <dataValidation allowBlank="1" showInputMessage="1" showErrorMessage="1" prompt="Enter class in this row from columns B to I" sqref="B13" xr:uid="{00000000-0002-0000-0200-000000000000}"/>
    <dataValidation allowBlank="1" showInputMessage="1" showErrorMessage="1" prompt="Enter time in this row  from columns B to I" sqref="B12" xr:uid="{00000000-0002-0000-0200-000001000000}"/>
    <dataValidation allowBlank="1" showInputMessage="1" showErrorMessage="1" prompt="If this row contains a number less than the previous number or row of numbers, then this row contains dates for the next calendar month" sqref="C8" xr:uid="{00000000-0002-0000-0200-000002000000}"/>
    <dataValidation allowBlank="1" showInputMessage="1" showErrorMessage="1" prompt="If this cell doesn’t contain the number 1, then it is a day from a previous month. Cells C3:I8 contain dates for the current month" sqref="C3" xr:uid="{00000000-0002-0000-0200-000003000000}"/>
    <dataValidation allowBlank="1" showInputMessage="1" showErrorMessage="1" prompt="Cells C2:I2 contain weekdays" sqref="C2" xr:uid="{00000000-0002-0000-0200-000004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200-000005000000}"/>
    <dataValidation allowBlank="1" showInputMessage="1" showErrorMessage="1" prompt="Automatically updated calendar year. To change the year, update cell B1 on Jan worksheet" sqref="B1" xr:uid="{00000000-0002-0000-0200-000006000000}"/>
    <dataValidation allowBlank="1" showInputMessage="1" showErrorMessage="1" prompt="March calendar automatically highlights assignment list entries for the month. Darker fonts are assignments. Lighter fonts are days that belong to the previous or next month" sqref="B2" xr:uid="{00000000-0002-0000-02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2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200-000009000000}"/>
    <dataValidation allowBlank="1" showInputMessage="1" showErrorMessage="1" prompt="Weekdays are in this row, from Monday to Friday" sqref="B11" xr:uid="{00000000-0002-0000-02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200-00000C000000}"/>
  </dataValidations>
  <printOptions horizontalCentered="1" verticalCentered="1"/>
  <pageMargins left="0.5" right="0.5" top="0.5" bottom="0.5" header="0.3" footer="0.3"/>
  <pageSetup scale="58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K31"/>
  <sheetViews>
    <sheetView showGridLines="0" zoomScale="90" zoomScaleNormal="90" zoomScalePageLayoutView="84" workbookViewId="0">
      <selection activeCell="I2" sqref="C2:I2"/>
    </sheetView>
  </sheetViews>
  <sheetFormatPr defaultColWidth="8.58203125" defaultRowHeight="30" customHeight="1" x14ac:dyDescent="0.35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22" customWidth="1"/>
    <col min="11" max="11" width="70.58203125" style="107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2"/>
      <c r="E1" s="122"/>
      <c r="F1" s="122"/>
      <c r="G1" s="122"/>
      <c r="H1" s="122"/>
      <c r="I1" s="122"/>
      <c r="J1" s="52" t="s">
        <v>33</v>
      </c>
      <c r="K1" s="53" t="s">
        <v>26</v>
      </c>
    </row>
    <row r="2" spans="1:11" ht="30" customHeight="1" x14ac:dyDescent="0.4">
      <c r="A2" s="4"/>
      <c r="B2" s="62" t="s">
        <v>9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102"/>
    </row>
    <row r="3" spans="1:11" ht="30" customHeight="1" x14ac:dyDescent="0.4">
      <c r="A3" s="4"/>
      <c r="B3" s="58"/>
      <c r="C3" s="44">
        <f>IF(DAY(AprSun1)=1,AprSun1-6,AprSun1+1)</f>
        <v>43920</v>
      </c>
      <c r="D3" s="44">
        <f>IF(DAY(AprSun1)=1,AprSun1-5,AprSun1+2)</f>
        <v>43921</v>
      </c>
      <c r="E3" s="44">
        <f>IF(DAY(AprSun1)=1,AprSun1-4,AprSun1+3)</f>
        <v>43922</v>
      </c>
      <c r="F3" s="44">
        <f>IF(DAY(AprSun1)=1,AprSun1-3,AprSun1+4)</f>
        <v>43923</v>
      </c>
      <c r="G3" s="44">
        <f>IF(DAY(AprSun1)=1,AprSun1-2,AprSun1+5)</f>
        <v>43924</v>
      </c>
      <c r="H3" s="44">
        <f>IF(DAY(AprSun1)=1,AprSun1-1,AprSun1+6)</f>
        <v>43925</v>
      </c>
      <c r="I3" s="44">
        <f>IF(DAY(AprSun1)=1,AprSun1,AprSun1+7)</f>
        <v>43926</v>
      </c>
      <c r="J3" s="54"/>
      <c r="K3" s="102"/>
    </row>
    <row r="4" spans="1:11" ht="30" customHeight="1" x14ac:dyDescent="0.4">
      <c r="A4" s="4"/>
      <c r="B4" s="58"/>
      <c r="C4" s="44">
        <f>IF(DAY(AprSun1)=1,AprSun1+1,AprSun1+8)</f>
        <v>43927</v>
      </c>
      <c r="D4" s="44">
        <f>IF(DAY(AprSun1)=1,AprSun1+2,AprSun1+9)</f>
        <v>43928</v>
      </c>
      <c r="E4" s="44">
        <f>IF(DAY(AprSun1)=1,AprSun1+3,AprSun1+10)</f>
        <v>43929</v>
      </c>
      <c r="F4" s="44">
        <f>IF(DAY(AprSun1)=1,AprSun1+4,AprSun1+11)</f>
        <v>43930</v>
      </c>
      <c r="G4" s="44">
        <f>IF(DAY(AprSun1)=1,AprSun1+5,AprSun1+12)</f>
        <v>43931</v>
      </c>
      <c r="H4" s="44">
        <f>IF(DAY(AprSun1)=1,AprSun1+6,AprSun1+13)</f>
        <v>43932</v>
      </c>
      <c r="I4" s="44">
        <f>IF(DAY(AprSun1)=1,AprSun1+7,AprSun1+14)</f>
        <v>43933</v>
      </c>
      <c r="J4" s="54"/>
      <c r="K4" s="102"/>
    </row>
    <row r="5" spans="1:11" ht="30" customHeight="1" x14ac:dyDescent="0.4">
      <c r="A5" s="4"/>
      <c r="B5" s="58"/>
      <c r="C5" s="44">
        <f>IF(DAY(AprSun1)=1,AprSun1+8,AprSun1+15)</f>
        <v>43934</v>
      </c>
      <c r="D5" s="44">
        <f>IF(DAY(AprSun1)=1,AprSun1+9,AprSun1+16)</f>
        <v>43935</v>
      </c>
      <c r="E5" s="44">
        <f>IF(DAY(AprSun1)=1,AprSun1+10,AprSun1+17)</f>
        <v>43936</v>
      </c>
      <c r="F5" s="44">
        <f>IF(DAY(AprSun1)=1,AprSun1+11,AprSun1+18)</f>
        <v>43937</v>
      </c>
      <c r="G5" s="44">
        <f>IF(DAY(AprSun1)=1,AprSun1+12,AprSun1+19)</f>
        <v>43938</v>
      </c>
      <c r="H5" s="44">
        <f>IF(DAY(AprSun1)=1,AprSun1+13,AprSun1+20)</f>
        <v>43939</v>
      </c>
      <c r="I5" s="44">
        <f>IF(DAY(AprSun1)=1,AprSun1+14,AprSun1+21)</f>
        <v>43940</v>
      </c>
      <c r="J5" s="54"/>
      <c r="K5" s="102"/>
    </row>
    <row r="6" spans="1:11" ht="30" customHeight="1" x14ac:dyDescent="0.4">
      <c r="A6" s="4"/>
      <c r="B6" s="58"/>
      <c r="C6" s="44">
        <f>IF(DAY(AprSun1)=1,AprSun1+15,AprSun1+22)</f>
        <v>43941</v>
      </c>
      <c r="D6" s="44">
        <f>IF(DAY(AprSun1)=1,AprSun1+16,AprSun1+23)</f>
        <v>43942</v>
      </c>
      <c r="E6" s="44">
        <f>IF(DAY(AprSun1)=1,AprSun1+17,AprSun1+24)</f>
        <v>43943</v>
      </c>
      <c r="F6" s="44">
        <f>IF(DAY(AprSun1)=1,AprSun1+18,AprSun1+25)</f>
        <v>43944</v>
      </c>
      <c r="G6" s="44">
        <f>IF(DAY(AprSun1)=1,AprSun1+19,AprSun1+26)</f>
        <v>43945</v>
      </c>
      <c r="H6" s="44">
        <f>IF(DAY(AprSun1)=1,AprSun1+20,AprSun1+27)</f>
        <v>43946</v>
      </c>
      <c r="I6" s="44">
        <f>IF(DAY(AprSun1)=1,AprSun1+21,AprSun1+28)</f>
        <v>43947</v>
      </c>
      <c r="J6" s="54"/>
      <c r="K6" s="102"/>
    </row>
    <row r="7" spans="1:11" ht="30" customHeight="1" x14ac:dyDescent="0.4">
      <c r="A7" s="4"/>
      <c r="B7" s="58"/>
      <c r="C7" s="44">
        <f>IF(DAY(AprSun1)=1,AprSun1+22,AprSun1+29)</f>
        <v>43948</v>
      </c>
      <c r="D7" s="44">
        <f>IF(DAY(AprSun1)=1,AprSun1+23,AprSun1+30)</f>
        <v>43949</v>
      </c>
      <c r="E7" s="44">
        <f>IF(DAY(AprSun1)=1,AprSun1+24,AprSun1+31)</f>
        <v>43950</v>
      </c>
      <c r="F7" s="44">
        <f>IF(DAY(AprSun1)=1,AprSun1+25,AprSun1+32)</f>
        <v>43951</v>
      </c>
      <c r="G7" s="44">
        <f>IF(DAY(AprSun1)=1,AprSun1+26,AprSun1+33)</f>
        <v>43952</v>
      </c>
      <c r="H7" s="44">
        <f>IF(DAY(AprSun1)=1,AprSun1+27,AprSun1+34)</f>
        <v>43953</v>
      </c>
      <c r="I7" s="44">
        <f>IF(DAY(AprSun1)=1,AprSun1+28,AprSun1+35)</f>
        <v>43954</v>
      </c>
      <c r="J7" s="61"/>
      <c r="K7" s="105"/>
    </row>
    <row r="8" spans="1:11" ht="30" customHeight="1" x14ac:dyDescent="0.4">
      <c r="A8" s="4"/>
      <c r="B8" s="59"/>
      <c r="C8" s="44">
        <f>IF(DAY(AprSun1)=1,AprSun1+29,AprSun1+36)</f>
        <v>43955</v>
      </c>
      <c r="D8" s="44">
        <f>IF(DAY(AprSun1)=1,AprSun1+30,AprSun1+37)</f>
        <v>43956</v>
      </c>
      <c r="E8" s="44">
        <f>IF(DAY(AprSun1)=1,AprSun1+31,AprSun1+38)</f>
        <v>43957</v>
      </c>
      <c r="F8" s="44">
        <f>IF(DAY(AprSun1)=1,AprSun1+32,AprSun1+39)</f>
        <v>43958</v>
      </c>
      <c r="G8" s="44">
        <f>IF(DAY(AprSun1)=1,AprSun1+33,AprSun1+40)</f>
        <v>43959</v>
      </c>
      <c r="H8" s="44">
        <f>IF(DAY(AprSun1)=1,AprSun1+34,AprSun1+41)</f>
        <v>43960</v>
      </c>
      <c r="I8" s="44">
        <f>IF(DAY(AprSun1)=1,AprSun1+35,AprSun1+42)</f>
        <v>43961</v>
      </c>
      <c r="J8" s="40" t="s">
        <v>28</v>
      </c>
      <c r="K8" s="102"/>
    </row>
    <row r="9" spans="1:11" ht="30" customHeight="1" x14ac:dyDescent="0.4">
      <c r="A9" s="4"/>
      <c r="C9" s="2"/>
      <c r="D9" s="2"/>
      <c r="E9" s="2"/>
      <c r="F9" s="2"/>
      <c r="G9" s="2"/>
      <c r="H9" s="2"/>
      <c r="I9" s="2"/>
      <c r="J9" s="54"/>
      <c r="K9" s="102"/>
    </row>
    <row r="10" spans="1:11" ht="30" customHeight="1" x14ac:dyDescent="0.4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54"/>
      <c r="K10" s="102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54"/>
      <c r="K11" s="102"/>
    </row>
    <row r="12" spans="1:11" ht="30" customHeight="1" x14ac:dyDescent="0.4">
      <c r="A12" s="10" t="s">
        <v>23</v>
      </c>
      <c r="B12" s="63"/>
      <c r="C12" s="123"/>
      <c r="D12" s="123"/>
      <c r="E12" s="123"/>
      <c r="F12" s="123"/>
      <c r="G12" s="123"/>
      <c r="H12" s="123"/>
      <c r="I12" s="64"/>
      <c r="J12" s="54"/>
      <c r="K12" s="102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61"/>
      <c r="K13" s="105"/>
    </row>
    <row r="14" spans="1:11" ht="30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41" t="s">
        <v>29</v>
      </c>
      <c r="K14" s="102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54"/>
      <c r="K15" s="102"/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54"/>
      <c r="K16" s="102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102"/>
    </row>
    <row r="18" spans="1:11" ht="30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102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61"/>
      <c r="K19" s="108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102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54"/>
      <c r="K21" s="102"/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102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102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102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61"/>
      <c r="K25" s="108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43" t="s">
        <v>37</v>
      </c>
      <c r="K26" s="102" t="s">
        <v>22</v>
      </c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54"/>
      <c r="K27" s="102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54"/>
      <c r="K28" s="102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24"/>
      <c r="K29" s="102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24"/>
      <c r="K30" s="102"/>
    </row>
    <row r="31" spans="1:11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24"/>
      <c r="K31" s="98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99" priority="6" stopIfTrue="1">
      <formula>DAY(C3)&gt;8</formula>
    </cfRule>
  </conditionalFormatting>
  <conditionalFormatting sqref="C7:I8">
    <cfRule type="expression" dxfId="98" priority="5" stopIfTrue="1">
      <formula>AND(DAY(C7)&gt;=1,DAY(C7)&lt;=15)</formula>
    </cfRule>
  </conditionalFormatting>
  <conditionalFormatting sqref="C3:I8">
    <cfRule type="expression" dxfId="97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96" priority="4">
      <formula>B13&lt;&gt;""</formula>
    </cfRule>
  </conditionalFormatting>
  <conditionalFormatting sqref="B12:I12 B14:I14 B16:I16 B18:I18 B20:I20 B22:I22 B24:I24 B26:I26 B28:I28 B30:I30">
    <cfRule type="expression" dxfId="95" priority="3">
      <formula>B12&lt;&gt;""</formula>
    </cfRule>
  </conditionalFormatting>
  <conditionalFormatting sqref="B13:I13 B15:I15 B17:I17 B19:I19 B21:I21 B23:I23 B25:I25 B27:I27 B29:I29">
    <cfRule type="expression" dxfId="94" priority="2">
      <formula>COLUMN(B12)&gt;=2</formula>
    </cfRule>
  </conditionalFormatting>
  <conditionalFormatting sqref="B12:I31">
    <cfRule type="expression" dxfId="93" priority="1">
      <formula>COLUMN(B12)&gt;2</formula>
    </cfRule>
  </conditionalFormatting>
  <dataValidations xWindow="209" yWindow="929" count="12">
    <dataValidation allowBlank="1" showInputMessage="1" showErrorMessage="1" prompt="April calendar automatically highlights assignment list entries for the month. Darker fonts are assignments. Lighter fonts are days that belong to the previous or next month" sqref="B2" xr:uid="{00000000-0002-0000-0300-000000000000}"/>
    <dataValidation allowBlank="1" showInputMessage="1" showErrorMessage="1" prompt="Automatically updated calendar year. To change the year, update cell B1 on Jan worksheet" sqref="B1" xr:uid="{00000000-0002-0000-0300-000001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300-000002000000}"/>
    <dataValidation allowBlank="1" showInputMessage="1" showErrorMessage="1" prompt="Cells C2:I2 contain weekdays" sqref="C2" xr:uid="{00000000-0002-0000-0300-000003000000}"/>
    <dataValidation allowBlank="1" showInputMessage="1" showErrorMessage="1" prompt="If this cell doesn’t contain the number 1, then it is a day from a previous month. Cells C3:I8 contain dates for the current month" sqref="C3" xr:uid="{00000000-0002-0000-0300-000004000000}"/>
    <dataValidation allowBlank="1" showInputMessage="1" showErrorMessage="1" prompt="If this row contains a number less than the previous number or row of numbers, then this row contains dates for the next calendar month" sqref="C8" xr:uid="{00000000-0002-0000-0300-000005000000}"/>
    <dataValidation allowBlank="1" showInputMessage="1" showErrorMessage="1" prompt="Enter time in this row  from columns B to I" sqref="B12" xr:uid="{00000000-0002-0000-0300-000006000000}"/>
    <dataValidation allowBlank="1" showInputMessage="1" showErrorMessage="1" prompt="Enter class in this row from columns B to I" sqref="B13" xr:uid="{00000000-0002-0000-03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3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300-000009000000}"/>
    <dataValidation allowBlank="1" showInputMessage="1" showErrorMessage="1" prompt="Weekdays are in this row, from Monday to Friday" sqref="B11" xr:uid="{00000000-0002-0000-03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300-00000C000000}"/>
  </dataValidations>
  <printOptions horizontalCentered="1" verticalCentered="1"/>
  <pageMargins left="0.5" right="0.5" top="0.5" bottom="0.5" header="0.3" footer="0.3"/>
  <pageSetup scale="58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K31"/>
  <sheetViews>
    <sheetView showGridLines="0" zoomScale="90" zoomScaleNormal="90" zoomScalePageLayoutView="84" workbookViewId="0">
      <selection activeCell="I2" sqref="C2:I2"/>
    </sheetView>
  </sheetViews>
  <sheetFormatPr defaultColWidth="8.58203125" defaultRowHeight="30" customHeight="1" x14ac:dyDescent="0.4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26" customWidth="1"/>
    <col min="11" max="11" width="70.58203125" style="99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2"/>
      <c r="E1" s="122"/>
      <c r="F1" s="122"/>
      <c r="G1" s="122"/>
      <c r="H1" s="122"/>
      <c r="I1" s="122"/>
      <c r="J1" s="52" t="s">
        <v>34</v>
      </c>
      <c r="K1" s="53" t="s">
        <v>26</v>
      </c>
    </row>
    <row r="2" spans="1:11" ht="30" customHeight="1" x14ac:dyDescent="0.4">
      <c r="A2" s="4"/>
      <c r="B2" s="62" t="s">
        <v>10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102" t="s">
        <v>38</v>
      </c>
    </row>
    <row r="3" spans="1:11" ht="30" customHeight="1" x14ac:dyDescent="0.4">
      <c r="A3" s="4"/>
      <c r="B3" s="58"/>
      <c r="C3" s="44">
        <f>IF(DAY(MaySun1)=1,MaySun1-6,MaySun1+1)</f>
        <v>43948</v>
      </c>
      <c r="D3" s="44">
        <f>IF(DAY(MaySun1)=1,MaySun1-5,MaySun1+2)</f>
        <v>43949</v>
      </c>
      <c r="E3" s="44">
        <f>IF(DAY(MaySun1)=1,MaySun1-4,MaySun1+3)</f>
        <v>43950</v>
      </c>
      <c r="F3" s="44">
        <f>IF(DAY(MaySun1)=1,MaySun1-3,MaySun1+4)</f>
        <v>43951</v>
      </c>
      <c r="G3" s="44">
        <f>IF(DAY(MaySun1)=1,MaySun1-2,MaySun1+5)</f>
        <v>43952</v>
      </c>
      <c r="H3" s="44">
        <f>IF(DAY(MaySun1)=1,MaySun1-1,MaySun1+6)</f>
        <v>43953</v>
      </c>
      <c r="I3" s="44">
        <f>IF(DAY(MaySun1)=1,MaySun1,MaySun1+7)</f>
        <v>43954</v>
      </c>
      <c r="J3" s="54"/>
      <c r="K3" s="102"/>
    </row>
    <row r="4" spans="1:11" ht="30" customHeight="1" x14ac:dyDescent="0.4">
      <c r="A4" s="4"/>
      <c r="B4" s="58"/>
      <c r="C4" s="44">
        <f>IF(DAY(MaySun1)=1,MaySun1+1,MaySun1+8)</f>
        <v>43955</v>
      </c>
      <c r="D4" s="44">
        <f>IF(DAY(MaySun1)=1,MaySun1+2,MaySun1+9)</f>
        <v>43956</v>
      </c>
      <c r="E4" s="44">
        <f>IF(DAY(MaySun1)=1,MaySun1+3,MaySun1+10)</f>
        <v>43957</v>
      </c>
      <c r="F4" s="44">
        <f>IF(DAY(MaySun1)=1,MaySun1+4,MaySun1+11)</f>
        <v>43958</v>
      </c>
      <c r="G4" s="44">
        <f>IF(DAY(MaySun1)=1,MaySun1+5,MaySun1+12)</f>
        <v>43959</v>
      </c>
      <c r="H4" s="44">
        <f>IF(DAY(MaySun1)=1,MaySun1+6,MaySun1+13)</f>
        <v>43960</v>
      </c>
      <c r="I4" s="44">
        <f>IF(DAY(MaySun1)=1,MaySun1+7,MaySun1+14)</f>
        <v>43961</v>
      </c>
      <c r="J4" s="54"/>
      <c r="K4" s="102"/>
    </row>
    <row r="5" spans="1:11" ht="30" customHeight="1" x14ac:dyDescent="0.4">
      <c r="A5" s="4"/>
      <c r="B5" s="58"/>
      <c r="C5" s="44">
        <f>IF(DAY(MaySun1)=1,MaySun1+8,MaySun1+15)</f>
        <v>43962</v>
      </c>
      <c r="D5" s="44">
        <f>IF(DAY(MaySun1)=1,MaySun1+9,MaySun1+16)</f>
        <v>43963</v>
      </c>
      <c r="E5" s="44">
        <f>IF(DAY(MaySun1)=1,MaySun1+10,MaySun1+17)</f>
        <v>43964</v>
      </c>
      <c r="F5" s="44">
        <f>IF(DAY(MaySun1)=1,MaySun1+11,MaySun1+18)</f>
        <v>43965</v>
      </c>
      <c r="G5" s="44">
        <f>IF(DAY(MaySun1)=1,MaySun1+12,MaySun1+19)</f>
        <v>43966</v>
      </c>
      <c r="H5" s="44">
        <f>IF(DAY(MaySun1)=1,MaySun1+13,MaySun1+20)</f>
        <v>43967</v>
      </c>
      <c r="I5" s="44">
        <f>IF(DAY(MaySun1)=1,MaySun1+14,MaySun1+21)</f>
        <v>43968</v>
      </c>
      <c r="J5" s="54"/>
      <c r="K5" s="102"/>
    </row>
    <row r="6" spans="1:11" ht="30" customHeight="1" x14ac:dyDescent="0.4">
      <c r="A6" s="4"/>
      <c r="B6" s="58"/>
      <c r="C6" s="44">
        <f>IF(DAY(MaySun1)=1,MaySun1+15,MaySun1+22)</f>
        <v>43969</v>
      </c>
      <c r="D6" s="44">
        <f>IF(DAY(MaySun1)=1,MaySun1+16,MaySun1+23)</f>
        <v>43970</v>
      </c>
      <c r="E6" s="44">
        <f>IF(DAY(MaySun1)=1,MaySun1+17,MaySun1+24)</f>
        <v>43971</v>
      </c>
      <c r="F6" s="44">
        <f>IF(DAY(MaySun1)=1,MaySun1+18,MaySun1+25)</f>
        <v>43972</v>
      </c>
      <c r="G6" s="44">
        <f>IF(DAY(MaySun1)=1,MaySun1+19,MaySun1+26)</f>
        <v>43973</v>
      </c>
      <c r="H6" s="44">
        <f>IF(DAY(MaySun1)=1,MaySun1+20,MaySun1+27)</f>
        <v>43974</v>
      </c>
      <c r="I6" s="44">
        <f>IF(DAY(MaySun1)=1,MaySun1+21,MaySun1+28)</f>
        <v>43975</v>
      </c>
      <c r="J6" s="54"/>
      <c r="K6" s="102"/>
    </row>
    <row r="7" spans="1:11" ht="30" customHeight="1" x14ac:dyDescent="0.4">
      <c r="A7" s="4"/>
      <c r="B7" s="58"/>
      <c r="C7" s="44">
        <f>IF(DAY(MaySun1)=1,MaySun1+22,MaySun1+29)</f>
        <v>43976</v>
      </c>
      <c r="D7" s="44">
        <f>IF(DAY(MaySun1)=1,MaySun1+23,MaySun1+30)</f>
        <v>43977</v>
      </c>
      <c r="E7" s="44">
        <f>IF(DAY(MaySun1)=1,MaySun1+24,MaySun1+31)</f>
        <v>43978</v>
      </c>
      <c r="F7" s="44">
        <f>IF(DAY(MaySun1)=1,MaySun1+25,MaySun1+32)</f>
        <v>43979</v>
      </c>
      <c r="G7" s="44">
        <f>IF(DAY(MaySun1)=1,MaySun1+26,MaySun1+33)</f>
        <v>43980</v>
      </c>
      <c r="H7" s="44">
        <f>IF(DAY(MaySun1)=1,MaySun1+27,MaySun1+34)</f>
        <v>43981</v>
      </c>
      <c r="I7" s="44">
        <f>IF(DAY(MaySun1)=1,MaySun1+28,MaySun1+35)</f>
        <v>43982</v>
      </c>
      <c r="J7" s="55"/>
      <c r="K7" s="103"/>
    </row>
    <row r="8" spans="1:11" ht="30" customHeight="1" x14ac:dyDescent="0.4">
      <c r="A8" s="4"/>
      <c r="B8" s="59"/>
      <c r="C8" s="44">
        <f>IF(DAY(MaySun1)=1,MaySun1+29,MaySun1+36)</f>
        <v>43983</v>
      </c>
      <c r="D8" s="44">
        <f>IF(DAY(MaySun1)=1,MaySun1+30,MaySun1+37)</f>
        <v>43984</v>
      </c>
      <c r="E8" s="44">
        <f>IF(DAY(MaySun1)=1,MaySun1+31,MaySun1+38)</f>
        <v>43985</v>
      </c>
      <c r="F8" s="44">
        <f>IF(DAY(MaySun1)=1,MaySun1+32,MaySun1+39)</f>
        <v>43986</v>
      </c>
      <c r="G8" s="44">
        <f>IF(DAY(MaySun1)=1,MaySun1+33,MaySun1+40)</f>
        <v>43987</v>
      </c>
      <c r="H8" s="44">
        <f>IF(DAY(MaySun1)=1,MaySun1+34,MaySun1+41)</f>
        <v>43988</v>
      </c>
      <c r="I8" s="44">
        <f>IF(DAY(MaySun1)=1,MaySun1+35,MaySun1+42)</f>
        <v>43989</v>
      </c>
      <c r="J8" s="40" t="s">
        <v>28</v>
      </c>
      <c r="K8" s="102"/>
    </row>
    <row r="9" spans="1:11" ht="30" customHeight="1" x14ac:dyDescent="0.4">
      <c r="A9" s="4"/>
      <c r="C9" s="2"/>
      <c r="D9" s="2"/>
      <c r="E9" s="2"/>
      <c r="F9" s="2"/>
      <c r="G9" s="2"/>
      <c r="H9" s="2"/>
      <c r="I9" s="2"/>
      <c r="J9" s="54"/>
      <c r="K9" s="102"/>
    </row>
    <row r="10" spans="1:11" ht="30" customHeight="1" x14ac:dyDescent="0.4">
      <c r="A10" s="4"/>
      <c r="B10" s="48" t="s">
        <v>3</v>
      </c>
      <c r="C10" s="3"/>
      <c r="D10" s="3"/>
      <c r="E10" s="3"/>
      <c r="F10" s="3"/>
      <c r="G10" s="3"/>
      <c r="H10" s="3"/>
      <c r="I10" s="3"/>
      <c r="J10" s="54"/>
      <c r="K10" s="102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54"/>
      <c r="K11" s="102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54"/>
      <c r="K12" s="102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55"/>
      <c r="K13" s="103"/>
    </row>
    <row r="14" spans="1:11" ht="30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65" t="s">
        <v>29</v>
      </c>
      <c r="K14" s="102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54"/>
      <c r="K15" s="102"/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54"/>
      <c r="K16" s="102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102"/>
    </row>
    <row r="18" spans="1:11" ht="30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102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55"/>
      <c r="K19" s="103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102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54"/>
      <c r="K21" s="102"/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102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102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102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55"/>
      <c r="K25" s="103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43" t="s">
        <v>37</v>
      </c>
      <c r="K26" s="102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54"/>
      <c r="K27" s="102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54"/>
      <c r="K28" s="102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54"/>
      <c r="K29" s="102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54"/>
      <c r="K30" s="102"/>
    </row>
    <row r="31" spans="1:11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55"/>
      <c r="K31" s="103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88" priority="6" stopIfTrue="1">
      <formula>DAY(C3)&gt;8</formula>
    </cfRule>
  </conditionalFormatting>
  <conditionalFormatting sqref="C7:I8">
    <cfRule type="expression" dxfId="87" priority="5" stopIfTrue="1">
      <formula>AND(DAY(C7)&gt;=1,DAY(C7)&lt;=15)</formula>
    </cfRule>
  </conditionalFormatting>
  <conditionalFormatting sqref="C3:I8">
    <cfRule type="expression" dxfId="86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85" priority="4">
      <formula>B13&lt;&gt;""</formula>
    </cfRule>
  </conditionalFormatting>
  <conditionalFormatting sqref="B12:I12 B14:I14 B16:I16 B18:I18 B20:I20 B22:I22 B24:I24 B26:I26 B28:I28 B30:I30">
    <cfRule type="expression" dxfId="84" priority="3">
      <formula>B12&lt;&gt;""</formula>
    </cfRule>
  </conditionalFormatting>
  <conditionalFormatting sqref="B13:I13 B15:I15 B17:I17 B19:I19 B21:I21 B23:I23 B25:I25 B27:I27 B29:I29">
    <cfRule type="expression" dxfId="83" priority="2">
      <formula>COLUMN(B12)&gt;=2</formula>
    </cfRule>
  </conditionalFormatting>
  <conditionalFormatting sqref="B12:I31">
    <cfRule type="expression" dxfId="82" priority="1">
      <formula>COLUMN(B11)&gt;2</formula>
    </cfRule>
  </conditionalFormatting>
  <dataValidations count="12">
    <dataValidation allowBlank="1" showInputMessage="1" showErrorMessage="1" prompt="Enter class in this row from columns B to I" sqref="B13" xr:uid="{00000000-0002-0000-0400-000000000000}"/>
    <dataValidation allowBlank="1" showInputMessage="1" showErrorMessage="1" prompt="Enter time in this row  from columns B to I" sqref="B12" xr:uid="{00000000-0002-0000-0400-000001000000}"/>
    <dataValidation allowBlank="1" showInputMessage="1" showErrorMessage="1" prompt="If this row contains a number less than the previous number or row of numbers, then this row contains dates for the next calendar month" sqref="C8" xr:uid="{00000000-0002-0000-0400-000002000000}"/>
    <dataValidation allowBlank="1" showInputMessage="1" showErrorMessage="1" prompt="If this cell doesn’t contain the number 1, then it is a day from a previous month. Cells C3:I8 contain dates for the current month" sqref="C3" xr:uid="{00000000-0002-0000-0400-000003000000}"/>
    <dataValidation allowBlank="1" showInputMessage="1" showErrorMessage="1" prompt="Cells C2:I2 contain weekdays" sqref="C2" xr:uid="{00000000-0002-0000-0400-000004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400-000005000000}"/>
    <dataValidation allowBlank="1" showInputMessage="1" showErrorMessage="1" prompt="Automatically updated calendar year. To change the year, update cell B1 on Jan worksheet" sqref="B1" xr:uid="{00000000-0002-0000-0400-000006000000}"/>
    <dataValidation allowBlank="1" showInputMessage="1" showErrorMessage="1" prompt="May calendar automatically highlights assignment list entries for the month. Darker fonts are assignments. Lighter fonts are days that belong to the previous or next month" sqref="B2" xr:uid="{00000000-0002-0000-04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4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400-000009000000}"/>
    <dataValidation allowBlank="1" showInputMessage="1" showErrorMessage="1" prompt="Weekdays are in this row, from Monday to Friday" sqref="B11" xr:uid="{00000000-0002-0000-04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400-00000C000000}"/>
  </dataValidations>
  <printOptions horizontalCentered="1" verticalCentered="1"/>
  <pageMargins left="0.5" right="0.5" top="0.5" bottom="0.5" header="0.3" footer="0.3"/>
  <pageSetup scale="58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K31"/>
  <sheetViews>
    <sheetView showGridLines="0" tabSelected="1" zoomScale="90" zoomScaleNormal="90" zoomScalePageLayoutView="84" workbookViewId="0">
      <selection activeCell="I2" sqref="C2:I2"/>
    </sheetView>
  </sheetViews>
  <sheetFormatPr defaultColWidth="8.58203125" defaultRowHeight="30" customHeight="1" x14ac:dyDescent="0.4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67" customWidth="1"/>
    <col min="11" max="11" width="70.58203125" style="99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1"/>
      <c r="E1" s="121"/>
      <c r="F1" s="121"/>
      <c r="G1" s="121"/>
      <c r="H1" s="121"/>
      <c r="I1" s="121"/>
      <c r="J1" s="52" t="s">
        <v>34</v>
      </c>
      <c r="K1" s="53" t="s">
        <v>26</v>
      </c>
    </row>
    <row r="2" spans="1:11" ht="30" customHeight="1" x14ac:dyDescent="0.4">
      <c r="A2" s="4"/>
      <c r="B2" s="62" t="s">
        <v>11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102"/>
    </row>
    <row r="3" spans="1:11" ht="30" customHeight="1" x14ac:dyDescent="0.4">
      <c r="A3" s="4"/>
      <c r="B3" s="58"/>
      <c r="C3" s="44">
        <f>IF(DAY(JunSun1)=1,JunSun1-6,JunSun1+1)</f>
        <v>43983</v>
      </c>
      <c r="D3" s="44">
        <f>IF(DAY(JunSun1)=1,JunSun1-5,JunSun1+2)</f>
        <v>43984</v>
      </c>
      <c r="E3" s="44">
        <f>IF(DAY(JunSun1)=1,JunSun1-4,JunSun1+3)</f>
        <v>43985</v>
      </c>
      <c r="F3" s="44">
        <f>IF(DAY(JunSun1)=1,JunSun1-3,JunSun1+4)</f>
        <v>43986</v>
      </c>
      <c r="G3" s="44">
        <f>IF(DAY(JunSun1)=1,JunSun1-2,JunSun1+5)</f>
        <v>43987</v>
      </c>
      <c r="H3" s="44">
        <f>IF(DAY(JunSun1)=1,JunSun1-1,JunSun1+6)</f>
        <v>43988</v>
      </c>
      <c r="I3" s="44">
        <f>IF(DAY(JunSun1)=1,JunSun1,JunSun1+7)</f>
        <v>43989</v>
      </c>
      <c r="J3" s="54"/>
      <c r="K3" s="102"/>
    </row>
    <row r="4" spans="1:11" ht="30" customHeight="1" x14ac:dyDescent="0.4">
      <c r="A4" s="4"/>
      <c r="B4" s="58"/>
      <c r="C4" s="44">
        <f>IF(DAY(JunSun1)=1,JunSun1+1,JunSun1+8)</f>
        <v>43990</v>
      </c>
      <c r="D4" s="44">
        <f>IF(DAY(JunSun1)=1,JunSun1+2,JunSun1+9)</f>
        <v>43991</v>
      </c>
      <c r="E4" s="44">
        <f>IF(DAY(JunSun1)=1,JunSun1+3,JunSun1+10)</f>
        <v>43992</v>
      </c>
      <c r="F4" s="44">
        <f>IF(DAY(JunSun1)=1,JunSun1+4,JunSun1+11)</f>
        <v>43993</v>
      </c>
      <c r="G4" s="44">
        <f>IF(DAY(JunSun1)=1,JunSun1+5,JunSun1+12)</f>
        <v>43994</v>
      </c>
      <c r="H4" s="44">
        <f>IF(DAY(JunSun1)=1,JunSun1+6,JunSun1+13)</f>
        <v>43995</v>
      </c>
      <c r="I4" s="44">
        <f>IF(DAY(JunSun1)=1,JunSun1+7,JunSun1+14)</f>
        <v>43996</v>
      </c>
      <c r="J4" s="54"/>
      <c r="K4" s="102"/>
    </row>
    <row r="5" spans="1:11" ht="30" customHeight="1" x14ac:dyDescent="0.4">
      <c r="A5" s="4"/>
      <c r="B5" s="58"/>
      <c r="C5" s="44">
        <f>IF(DAY(JunSun1)=1,JunSun1+8,JunSun1+15)</f>
        <v>43997</v>
      </c>
      <c r="D5" s="44">
        <f>IF(DAY(JunSun1)=1,JunSun1+9,JunSun1+16)</f>
        <v>43998</v>
      </c>
      <c r="E5" s="44">
        <f>IF(DAY(JunSun1)=1,JunSun1+10,JunSun1+17)</f>
        <v>43999</v>
      </c>
      <c r="F5" s="44">
        <f>IF(DAY(JunSun1)=1,JunSun1+11,JunSun1+18)</f>
        <v>44000</v>
      </c>
      <c r="G5" s="44">
        <f>IF(DAY(JunSun1)=1,JunSun1+12,JunSun1+19)</f>
        <v>44001</v>
      </c>
      <c r="H5" s="44">
        <f>IF(DAY(JunSun1)=1,JunSun1+13,JunSun1+20)</f>
        <v>44002</v>
      </c>
      <c r="I5" s="44">
        <f>IF(DAY(JunSun1)=1,JunSun1+14,JunSun1+21)</f>
        <v>44003</v>
      </c>
      <c r="J5" s="54"/>
      <c r="K5" s="102"/>
    </row>
    <row r="6" spans="1:11" ht="30" customHeight="1" x14ac:dyDescent="0.4">
      <c r="A6" s="4"/>
      <c r="B6" s="58"/>
      <c r="C6" s="44">
        <f>IF(DAY(JunSun1)=1,JunSun1+15,JunSun1+22)</f>
        <v>44004</v>
      </c>
      <c r="D6" s="44">
        <f>IF(DAY(JunSun1)=1,JunSun1+16,JunSun1+23)</f>
        <v>44005</v>
      </c>
      <c r="E6" s="44">
        <f>IF(DAY(JunSun1)=1,JunSun1+17,JunSun1+24)</f>
        <v>44006</v>
      </c>
      <c r="F6" s="44">
        <f>IF(DAY(JunSun1)=1,JunSun1+18,JunSun1+25)</f>
        <v>44007</v>
      </c>
      <c r="G6" s="44">
        <f>IF(DAY(JunSun1)=1,JunSun1+19,JunSun1+26)</f>
        <v>44008</v>
      </c>
      <c r="H6" s="44">
        <f>IF(DAY(JunSun1)=1,JunSun1+20,JunSun1+27)</f>
        <v>44009</v>
      </c>
      <c r="I6" s="44">
        <f>IF(DAY(JunSun1)=1,JunSun1+21,JunSun1+28)</f>
        <v>44010</v>
      </c>
      <c r="J6" s="54"/>
      <c r="K6" s="102"/>
    </row>
    <row r="7" spans="1:11" ht="30" customHeight="1" x14ac:dyDescent="0.35">
      <c r="A7" s="4"/>
      <c r="B7" s="58"/>
      <c r="C7" s="44">
        <f>IF(DAY(JunSun1)=1,JunSun1+22,JunSun1+29)</f>
        <v>44011</v>
      </c>
      <c r="D7" s="44">
        <f>IF(DAY(JunSun1)=1,JunSun1+23,JunSun1+30)</f>
        <v>44012</v>
      </c>
      <c r="E7" s="44">
        <f>IF(DAY(JunSun1)=1,JunSun1+24,JunSun1+31)</f>
        <v>44013</v>
      </c>
      <c r="F7" s="44">
        <f>IF(DAY(JunSun1)=1,JunSun1+25,JunSun1+32)</f>
        <v>44014</v>
      </c>
      <c r="G7" s="44">
        <f>IF(DAY(JunSun1)=1,JunSun1+26,JunSun1+33)</f>
        <v>44015</v>
      </c>
      <c r="H7" s="44">
        <f>IF(DAY(JunSun1)=1,JunSun1+27,JunSun1+34)</f>
        <v>44016</v>
      </c>
      <c r="I7" s="44">
        <f>IF(DAY(JunSun1)=1,JunSun1+28,JunSun1+35)</f>
        <v>44017</v>
      </c>
      <c r="J7" s="66"/>
      <c r="K7" s="109"/>
    </row>
    <row r="8" spans="1:11" ht="30" customHeight="1" x14ac:dyDescent="0.4">
      <c r="A8" s="4"/>
      <c r="B8" s="59"/>
      <c r="C8" s="44">
        <f>IF(DAY(JunSun1)=1,JunSun1+29,JunSun1+36)</f>
        <v>44018</v>
      </c>
      <c r="D8" s="44">
        <f>IF(DAY(JunSun1)=1,JunSun1+30,JunSun1+37)</f>
        <v>44019</v>
      </c>
      <c r="E8" s="44">
        <f>IF(DAY(JunSun1)=1,JunSun1+31,JunSun1+38)</f>
        <v>44020</v>
      </c>
      <c r="F8" s="44">
        <f>IF(DAY(JunSun1)=1,JunSun1+32,JunSun1+39)</f>
        <v>44021</v>
      </c>
      <c r="G8" s="44">
        <f>IF(DAY(JunSun1)=1,JunSun1+33,JunSun1+40)</f>
        <v>44022</v>
      </c>
      <c r="H8" s="44">
        <f>IF(DAY(JunSun1)=1,JunSun1+34,JunSun1+41)</f>
        <v>44023</v>
      </c>
      <c r="I8" s="44">
        <f>IF(DAY(JunSun1)=1,JunSun1+35,JunSun1+42)</f>
        <v>44024</v>
      </c>
      <c r="J8" s="40" t="s">
        <v>28</v>
      </c>
      <c r="K8" s="102"/>
    </row>
    <row r="9" spans="1:11" ht="30" customHeight="1" x14ac:dyDescent="0.4">
      <c r="A9" s="4"/>
      <c r="C9" s="2"/>
      <c r="D9" s="2"/>
      <c r="E9" s="2"/>
      <c r="F9" s="2"/>
      <c r="G9" s="2"/>
      <c r="H9" s="2"/>
      <c r="I9" s="2"/>
      <c r="J9" s="54"/>
      <c r="K9" s="102"/>
    </row>
    <row r="10" spans="1:11" ht="30" customHeight="1" x14ac:dyDescent="0.4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54"/>
      <c r="K10" s="102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54"/>
      <c r="K11" s="102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54"/>
      <c r="K12" s="102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61"/>
      <c r="K13" s="105"/>
    </row>
    <row r="14" spans="1:11" ht="30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41" t="s">
        <v>29</v>
      </c>
      <c r="K14" s="102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54"/>
      <c r="K15" s="102"/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54"/>
      <c r="K16" s="102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102"/>
    </row>
    <row r="18" spans="1:11" ht="30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102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61"/>
      <c r="K19" s="108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102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54"/>
      <c r="K21" s="102"/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102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102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102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61"/>
      <c r="K25" s="108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43" t="s">
        <v>37</v>
      </c>
      <c r="K26" s="102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54"/>
      <c r="K27" s="102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54"/>
      <c r="K28" s="102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54"/>
      <c r="K29" s="102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54"/>
      <c r="K30" s="102"/>
    </row>
    <row r="31" spans="1:11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54"/>
      <c r="K31" s="98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77" priority="6" stopIfTrue="1">
      <formula>DAY(C3)&gt;8</formula>
    </cfRule>
  </conditionalFormatting>
  <conditionalFormatting sqref="C7:I8">
    <cfRule type="expression" dxfId="76" priority="5" stopIfTrue="1">
      <formula>AND(DAY(C7)&gt;=1,DAY(C7)&lt;=15)</formula>
    </cfRule>
  </conditionalFormatting>
  <conditionalFormatting sqref="C3:I8">
    <cfRule type="expression" dxfId="75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74" priority="4">
      <formula>B13&lt;&gt;""</formula>
    </cfRule>
  </conditionalFormatting>
  <conditionalFormatting sqref="B12:I12 B14:I14 B16:I16 B18:I18 B20:I20 B22:I22 B24:I24 B26:I26 B28:I28 B30:I30">
    <cfRule type="expression" dxfId="73" priority="3">
      <formula>B12&lt;&gt;""</formula>
    </cfRule>
  </conditionalFormatting>
  <conditionalFormatting sqref="B13:I13 B15:I15 B17:I17 B19:I19 B21:I21 B23:I23 B25:I25 B27:I27 B29:I29">
    <cfRule type="expression" dxfId="72" priority="2">
      <formula>COLUMN(B13)&gt;=2</formula>
    </cfRule>
  </conditionalFormatting>
  <conditionalFormatting sqref="B12:I31">
    <cfRule type="expression" dxfId="71" priority="1">
      <formula>COLUMN(B12)&gt;2</formula>
    </cfRule>
  </conditionalFormatting>
  <dataValidations xWindow="282" yWindow="780" count="12">
    <dataValidation allowBlank="1" showInputMessage="1" showErrorMessage="1" prompt="June calendar automatically highlights assignment list entries for the month. Darker fonts are assignments. Lighter fonts are days that belong to the previous or next month" sqref="B2" xr:uid="{00000000-0002-0000-0500-000000000000}"/>
    <dataValidation allowBlank="1" showInputMessage="1" showErrorMessage="1" prompt="Automatically updated calendar year. To change the year, update cell B1 on Jan worksheet" sqref="B1" xr:uid="{00000000-0002-0000-0500-000001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500-000002000000}"/>
    <dataValidation allowBlank="1" showInputMessage="1" showErrorMessage="1" prompt="Cells C2:I2 contain weekdays" sqref="C2" xr:uid="{00000000-0002-0000-0500-000003000000}"/>
    <dataValidation allowBlank="1" showInputMessage="1" showErrorMessage="1" prompt="If this cell doesn’t contain the number 1, then it is a day from a previous month. Cells C3:I8 contain dates for the current month" sqref="C3" xr:uid="{00000000-0002-0000-0500-000004000000}"/>
    <dataValidation allowBlank="1" showInputMessage="1" showErrorMessage="1" prompt="If this row contains a number less than the previous number or row of numbers, then this row contains dates for the next calendar month" sqref="C8" xr:uid="{00000000-0002-0000-0500-000005000000}"/>
    <dataValidation allowBlank="1" showInputMessage="1" showErrorMessage="1" prompt="Enter time in this row  from columns B to I" sqref="B12" xr:uid="{00000000-0002-0000-0500-000006000000}"/>
    <dataValidation allowBlank="1" showInputMessage="1" showErrorMessage="1" prompt="Enter class in this row from columns B to I" sqref="B13" xr:uid="{00000000-0002-0000-05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5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500-000009000000}"/>
    <dataValidation allowBlank="1" showInputMessage="1" showErrorMessage="1" prompt="Weekdays are in this row, from Monday to Friday" sqref="B11" xr:uid="{00000000-0002-0000-05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500-00000C000000}"/>
  </dataValidations>
  <printOptions horizontalCentered="1" verticalCentered="1"/>
  <pageMargins left="0.5" right="0.5" top="0.5" bottom="0.5" header="0.3" footer="0.3"/>
  <pageSetup scale="58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K31"/>
  <sheetViews>
    <sheetView showGridLines="0" topLeftCell="C7" zoomScale="90" zoomScaleNormal="90" zoomScalePageLayoutView="84" workbookViewId="0">
      <selection activeCell="G7" sqref="G7"/>
    </sheetView>
  </sheetViews>
  <sheetFormatPr defaultColWidth="8.58203125" defaultRowHeight="30" customHeight="1" x14ac:dyDescent="0.4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67" customWidth="1"/>
    <col min="11" max="11" width="70.58203125" style="99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1"/>
      <c r="E1" s="121"/>
      <c r="F1" s="121"/>
      <c r="G1" s="121"/>
      <c r="H1" s="121"/>
      <c r="I1" s="121"/>
      <c r="J1" s="52" t="s">
        <v>33</v>
      </c>
      <c r="K1" s="53" t="s">
        <v>26</v>
      </c>
    </row>
    <row r="2" spans="1:11" ht="30" customHeight="1" x14ac:dyDescent="0.4">
      <c r="A2" s="4"/>
      <c r="B2" s="60" t="s">
        <v>12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102"/>
    </row>
    <row r="3" spans="1:11" ht="30" customHeight="1" x14ac:dyDescent="0.4">
      <c r="A3" s="4"/>
      <c r="B3" s="58"/>
      <c r="C3" s="44">
        <f>IF(DAY(JulSun1)=1,JulSun1-6,JulSun1+1)</f>
        <v>44011</v>
      </c>
      <c r="D3" s="44">
        <f>IF(DAY(JulSun1)=1,JulSun1-5,JulSun1+2)</f>
        <v>44012</v>
      </c>
      <c r="E3" s="44">
        <f>IF(DAY(JulSun1)=1,JulSun1-4,JulSun1+3)</f>
        <v>44013</v>
      </c>
      <c r="F3" s="44">
        <f>IF(DAY(JulSun1)=1,JulSun1-3,JulSun1+4)</f>
        <v>44014</v>
      </c>
      <c r="G3" s="44">
        <f>IF(DAY(JulSun1)=1,JulSun1-2,JulSun1+5)</f>
        <v>44015</v>
      </c>
      <c r="H3" s="44">
        <f>IF(DAY(JulSun1)=1,JulSun1-1,JulSun1+6)</f>
        <v>44016</v>
      </c>
      <c r="I3" s="44">
        <f>IF(DAY(JulSun1)=1,JulSun1,JulSun1+7)</f>
        <v>44017</v>
      </c>
      <c r="J3" s="54"/>
      <c r="K3" s="102"/>
    </row>
    <row r="4" spans="1:11" ht="30" customHeight="1" x14ac:dyDescent="0.4">
      <c r="A4" s="4"/>
      <c r="B4" s="58"/>
      <c r="C4" s="44">
        <f>IF(DAY(JulSun1)=1,JulSun1+1,JulSun1+8)</f>
        <v>44018</v>
      </c>
      <c r="D4" s="44">
        <f>IF(DAY(JulSun1)=1,JulSun1+2,JulSun1+9)</f>
        <v>44019</v>
      </c>
      <c r="E4" s="44">
        <f>IF(DAY(JulSun1)=1,JulSun1+3,JulSun1+10)</f>
        <v>44020</v>
      </c>
      <c r="F4" s="44">
        <f>IF(DAY(JulSun1)=1,JulSun1+4,JulSun1+11)</f>
        <v>44021</v>
      </c>
      <c r="G4" s="44">
        <f>IF(DAY(JulSun1)=1,JulSun1+5,JulSun1+12)</f>
        <v>44022</v>
      </c>
      <c r="H4" s="44">
        <f>IF(DAY(JulSun1)=1,JulSun1+6,JulSun1+13)</f>
        <v>44023</v>
      </c>
      <c r="I4" s="44">
        <f>IF(DAY(JulSun1)=1,JulSun1+7,JulSun1+14)</f>
        <v>44024</v>
      </c>
      <c r="J4" s="54"/>
      <c r="K4" s="102"/>
    </row>
    <row r="5" spans="1:11" ht="30" customHeight="1" x14ac:dyDescent="0.4">
      <c r="A5" s="4"/>
      <c r="B5" s="58"/>
      <c r="C5" s="44">
        <f>IF(DAY(JulSun1)=1,JulSun1+8,JulSun1+15)</f>
        <v>44025</v>
      </c>
      <c r="D5" s="44">
        <f>IF(DAY(JulSun1)=1,JulSun1+9,JulSun1+16)</f>
        <v>44026</v>
      </c>
      <c r="E5" s="44">
        <f>IF(DAY(JulSun1)=1,JulSun1+10,JulSun1+17)</f>
        <v>44027</v>
      </c>
      <c r="F5" s="44">
        <f>IF(DAY(JulSun1)=1,JulSun1+11,JulSun1+18)</f>
        <v>44028</v>
      </c>
      <c r="G5" s="44">
        <f>IF(DAY(JulSun1)=1,JulSun1+12,JulSun1+19)</f>
        <v>44029</v>
      </c>
      <c r="H5" s="44">
        <f>IF(DAY(JulSun1)=1,JulSun1+13,JulSun1+20)</f>
        <v>44030</v>
      </c>
      <c r="I5" s="44">
        <f>IF(DAY(JulSun1)=1,JulSun1+14,JulSun1+21)</f>
        <v>44031</v>
      </c>
      <c r="J5" s="54"/>
      <c r="K5" s="102"/>
    </row>
    <row r="6" spans="1:11" ht="30" customHeight="1" x14ac:dyDescent="0.4">
      <c r="A6" s="4"/>
      <c r="B6" s="58"/>
      <c r="C6" s="44">
        <f>IF(DAY(JulSun1)=1,JulSun1+15,JulSun1+22)</f>
        <v>44032</v>
      </c>
      <c r="D6" s="129">
        <f>IF(DAY(JulSun1)=1,JulSun1+16,JulSun1+23)</f>
        <v>44033</v>
      </c>
      <c r="E6" s="44">
        <f>IF(DAY(JulSun1)=1,JulSun1+17,JulSun1+24)</f>
        <v>44034</v>
      </c>
      <c r="F6" s="44">
        <f>IF(DAY(JulSun1)=1,JulSun1+18,JulSun1+25)</f>
        <v>44035</v>
      </c>
      <c r="G6" s="44">
        <f>IF(DAY(JulSun1)=1,JulSun1+19,JulSun1+26)</f>
        <v>44036</v>
      </c>
      <c r="H6" s="44">
        <f>IF(DAY(JulSun1)=1,JulSun1+20,JulSun1+27)</f>
        <v>44037</v>
      </c>
      <c r="I6" s="44">
        <f>IF(DAY(JulSun1)=1,JulSun1+21,JulSun1+28)</f>
        <v>44038</v>
      </c>
      <c r="J6" s="54"/>
      <c r="K6" s="102"/>
    </row>
    <row r="7" spans="1:11" ht="30" customHeight="1" x14ac:dyDescent="0.4">
      <c r="A7" s="4"/>
      <c r="B7" s="58"/>
      <c r="C7" s="44">
        <f>IF(DAY(JulSun1)=1,JulSun1+22,JulSun1+29)</f>
        <v>44039</v>
      </c>
      <c r="D7" s="44">
        <f>IF(DAY(JulSun1)=1,JulSun1+23,JulSun1+30)</f>
        <v>44040</v>
      </c>
      <c r="E7" s="129">
        <f>IF(DAY(JulSun1)=1,JulSun1+24,JulSun1+31)</f>
        <v>44041</v>
      </c>
      <c r="F7" s="44">
        <f>IF(DAY(JulSun1)=1,JulSun1+25,JulSun1+32)</f>
        <v>44042</v>
      </c>
      <c r="G7" s="83">
        <f>IF(DAY(JulSun1)=1,JulSun1+26,JulSun1+33)</f>
        <v>44043</v>
      </c>
      <c r="H7" s="44">
        <f>IF(DAY(JulSun1)=1,JulSun1+27,JulSun1+34)</f>
        <v>44044</v>
      </c>
      <c r="I7" s="44">
        <f>IF(DAY(JulSun1)=1,JulSun1+28,JulSun1+35)</f>
        <v>44045</v>
      </c>
      <c r="J7" s="61"/>
      <c r="K7" s="105"/>
    </row>
    <row r="8" spans="1:11" ht="30" customHeight="1" x14ac:dyDescent="0.4">
      <c r="A8" s="4"/>
      <c r="B8" s="59"/>
      <c r="C8" s="44">
        <f>IF(DAY(JulSun1)=1,JulSun1+29,JulSun1+36)</f>
        <v>44046</v>
      </c>
      <c r="D8" s="44">
        <f>IF(DAY(JulSun1)=1,JulSun1+30,JulSun1+37)</f>
        <v>44047</v>
      </c>
      <c r="E8" s="44">
        <f>IF(DAY(JulSun1)=1,JulSun1+31,JulSun1+38)</f>
        <v>44048</v>
      </c>
      <c r="F8" s="44">
        <f>IF(DAY(JulSun1)=1,JulSun1+32,JulSun1+39)</f>
        <v>44049</v>
      </c>
      <c r="G8" s="44">
        <f>IF(DAY(JulSun1)=1,JulSun1+33,JulSun1+40)</f>
        <v>44050</v>
      </c>
      <c r="H8" s="44">
        <f>IF(DAY(JulSun1)=1,JulSun1+34,JulSun1+41)</f>
        <v>44051</v>
      </c>
      <c r="I8" s="44">
        <f>IF(DAY(JulSun1)=1,JulSun1+35,JulSun1+42)</f>
        <v>44052</v>
      </c>
      <c r="J8" s="40" t="s">
        <v>28</v>
      </c>
      <c r="K8" s="102" t="s">
        <v>46</v>
      </c>
    </row>
    <row r="9" spans="1:11" ht="30" customHeight="1" x14ac:dyDescent="0.4">
      <c r="A9" s="4"/>
      <c r="C9" s="2"/>
      <c r="D9" s="2"/>
      <c r="E9" s="2"/>
      <c r="F9" s="2"/>
      <c r="G9" s="2"/>
      <c r="H9" s="2"/>
      <c r="I9" s="2"/>
      <c r="J9" s="54"/>
      <c r="K9" s="102"/>
    </row>
    <row r="10" spans="1:11" ht="30" customHeight="1" x14ac:dyDescent="0.4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54"/>
      <c r="K10" s="102"/>
    </row>
    <row r="11" spans="1:11" ht="30" customHeight="1" x14ac:dyDescent="0.4">
      <c r="A11" s="10" t="s">
        <v>25</v>
      </c>
      <c r="B11" s="46" t="s">
        <v>1</v>
      </c>
      <c r="C11" s="113" t="s">
        <v>2</v>
      </c>
      <c r="D11" s="114"/>
      <c r="E11" s="113" t="s">
        <v>4</v>
      </c>
      <c r="F11" s="114"/>
      <c r="G11" s="113" t="s">
        <v>5</v>
      </c>
      <c r="H11" s="114"/>
      <c r="I11" s="47" t="s">
        <v>6</v>
      </c>
      <c r="J11" s="54"/>
      <c r="K11" s="102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54"/>
      <c r="K12" s="102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61"/>
      <c r="K13" s="105"/>
    </row>
    <row r="14" spans="1:11" ht="30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41" t="s">
        <v>29</v>
      </c>
      <c r="K14" s="102"/>
    </row>
    <row r="15" spans="1:11" ht="30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54"/>
      <c r="K15" s="102"/>
    </row>
    <row r="16" spans="1:11" ht="30" customHeight="1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54"/>
      <c r="K16" s="102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102"/>
    </row>
    <row r="18" spans="1:11" ht="30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102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61"/>
      <c r="K19" s="108"/>
    </row>
    <row r="20" spans="1:11" ht="30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102"/>
    </row>
    <row r="21" spans="1:11" ht="30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81">
        <v>44033</v>
      </c>
      <c r="K21" s="128" t="s">
        <v>45</v>
      </c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102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102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102"/>
    </row>
    <row r="25" spans="1:11" ht="30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61"/>
      <c r="K25" s="108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43" t="s">
        <v>37</v>
      </c>
      <c r="K26" s="102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81">
        <v>44041</v>
      </c>
      <c r="K27" s="128" t="s">
        <v>44</v>
      </c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82">
        <v>44043</v>
      </c>
      <c r="K28" s="96" t="s">
        <v>43</v>
      </c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54"/>
      <c r="K29" s="102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54"/>
      <c r="K30" s="102"/>
    </row>
    <row r="31" spans="1:11" ht="30" customHeight="1" x14ac:dyDescent="0.4">
      <c r="A31" s="10" t="s">
        <v>24</v>
      </c>
      <c r="B31" s="14"/>
      <c r="C31" s="117"/>
      <c r="D31" s="117"/>
      <c r="E31" s="117"/>
      <c r="F31" s="117"/>
      <c r="G31" s="117"/>
      <c r="H31" s="117"/>
      <c r="I31" s="15"/>
      <c r="J31" s="54"/>
      <c r="K31" s="98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66" priority="6" stopIfTrue="1">
      <formula>DAY(C3)&gt;8</formula>
    </cfRule>
  </conditionalFormatting>
  <conditionalFormatting sqref="C7:I8">
    <cfRule type="expression" dxfId="65" priority="5" stopIfTrue="1">
      <formula>AND(DAY(C7)&gt;=1,DAY(C7)&lt;=15)</formula>
    </cfRule>
  </conditionalFormatting>
  <conditionalFormatting sqref="C3:I8">
    <cfRule type="expression" dxfId="64" priority="7">
      <formula>VLOOKUP(DAY(C3),AssignmentDays,1,FALSE)=DAY(C3)</formula>
    </cfRule>
  </conditionalFormatting>
  <conditionalFormatting sqref="B12:I12 B14:I14 B16:I16 B18:I18 B20:I20 B22:I22 B24:I24 B26:I26 B28:I28 B30:I30">
    <cfRule type="expression" dxfId="63" priority="4">
      <formula>B12&lt;&gt;""</formula>
    </cfRule>
  </conditionalFormatting>
  <conditionalFormatting sqref="B13:I13 B15:I15 B17:I17 B19:I19 B21:I21 B23:I23 B25:I25 B27:I27 B29:I29 B31:I31">
    <cfRule type="expression" dxfId="62" priority="3">
      <formula>B13&lt;&gt;""</formula>
    </cfRule>
  </conditionalFormatting>
  <conditionalFormatting sqref="B13:I13 B15:I15 B17:I17 B19:I19 B21:I21 B23:I23 B25:I25 B27:I27 B29:I29">
    <cfRule type="expression" dxfId="61" priority="2">
      <formula>COLUMN(B13)&gt;=2</formula>
    </cfRule>
  </conditionalFormatting>
  <conditionalFormatting sqref="B12:I31">
    <cfRule type="expression" dxfId="60" priority="1">
      <formula>COLUMN(B12)&gt;2</formula>
    </cfRule>
  </conditionalFormatting>
  <dataValidations xWindow="239" yWindow="583" count="12">
    <dataValidation allowBlank="1" showInputMessage="1" showErrorMessage="1" prompt="Enter class in this row from columns B to I" sqref="B13" xr:uid="{00000000-0002-0000-0600-000000000000}"/>
    <dataValidation allowBlank="1" showInputMessage="1" showErrorMessage="1" prompt="Enter time in this row  from columns B to I" sqref="B12" xr:uid="{00000000-0002-0000-0600-000001000000}"/>
    <dataValidation allowBlank="1" showInputMessage="1" showErrorMessage="1" prompt="If this row contains a number less than the previous number or row of numbers, then this row contains dates for the next calendar month" sqref="C8" xr:uid="{00000000-0002-0000-0600-000002000000}"/>
    <dataValidation allowBlank="1" showInputMessage="1" showErrorMessage="1" prompt="If this cell doesn’t contain the number 1, then it is a day from a previous month. Cells C3:I8 contain dates for the current month" sqref="C3" xr:uid="{00000000-0002-0000-0600-000003000000}"/>
    <dataValidation allowBlank="1" showInputMessage="1" showErrorMessage="1" prompt="Cells C2:I2 contain weekdays" sqref="C2" xr:uid="{00000000-0002-0000-0600-000004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600-000005000000}"/>
    <dataValidation allowBlank="1" showInputMessage="1" showErrorMessage="1" prompt="Automatically updated calendar year. To change the year, update cell B1 on Jan worksheet" sqref="B1" xr:uid="{00000000-0002-0000-0600-000006000000}"/>
    <dataValidation allowBlank="1" showInputMessage="1" showErrorMessage="1" prompt="July calendar automatically highlights assignment list entries for the month. Darker fonts are assignments. Lighter fonts are days that belong to the previous or next month" sqref="B2" xr:uid="{00000000-0002-0000-06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6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600-000009000000}"/>
    <dataValidation allowBlank="1" showInputMessage="1" showErrorMessage="1" prompt="Weekdays are in this row, from Monday to Friday" sqref="B11" xr:uid="{00000000-0002-0000-06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600-00000C000000}"/>
  </dataValidations>
  <hyperlinks>
    <hyperlink ref="E7" r:id="rId1" display="https://tcfsps.wufoo.com/forms/z4jzmf810s7kiu/" xr:uid="{1A488D50-DAAE-41AA-BDCF-6ADA68FA5DC4}"/>
    <hyperlink ref="K27" r:id="rId2" xr:uid="{B3B03EB7-C63B-4F77-8293-A57512BBE6B7}"/>
    <hyperlink ref="D6" r:id="rId3" display="https://tcfsps.wufoo.com/forms/z1lsdu3p14aqitu/" xr:uid="{AC3DF6D8-C791-4586-A82B-D22BC469A07E}"/>
    <hyperlink ref="K21" r:id="rId4" xr:uid="{5FF77F82-5553-4E95-B246-FF1D00A2F041}"/>
  </hyperlinks>
  <printOptions horizontalCentered="1" verticalCentered="1"/>
  <pageMargins left="0.5" right="0.5" top="0.5" bottom="0.5" header="0.3" footer="0.3"/>
  <pageSetup scale="58" orientation="landscape" r:id="rId5"/>
  <drawing r:id="rId6"/>
  <tableParts count="1"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K31"/>
  <sheetViews>
    <sheetView showGridLines="0" topLeftCell="D1" zoomScale="90" zoomScaleNormal="90" zoomScalePageLayoutView="84" workbookViewId="0">
      <selection activeCell="H6" sqref="H6"/>
    </sheetView>
  </sheetViews>
  <sheetFormatPr defaultColWidth="8.58203125" defaultRowHeight="30" customHeight="1" x14ac:dyDescent="0.3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58" customWidth="1"/>
    <col min="11" max="11" width="70.58203125" style="107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1"/>
      <c r="E1" s="121"/>
      <c r="F1" s="121"/>
      <c r="G1" s="121"/>
      <c r="H1" s="121"/>
      <c r="I1" s="121"/>
      <c r="J1" s="52" t="s">
        <v>33</v>
      </c>
      <c r="K1" s="53" t="s">
        <v>26</v>
      </c>
    </row>
    <row r="2" spans="1:11" x14ac:dyDescent="0.35">
      <c r="A2" s="4"/>
      <c r="B2" s="60" t="s">
        <v>13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69" t="s">
        <v>27</v>
      </c>
      <c r="K2" s="102"/>
    </row>
    <row r="3" spans="1:11" ht="30" customHeight="1" x14ac:dyDescent="0.35">
      <c r="A3" s="4"/>
      <c r="B3" s="58"/>
      <c r="C3" s="44">
        <f>IF(DAY(AugSun1)=1,AugSun1-6,AugSun1+1)</f>
        <v>44039</v>
      </c>
      <c r="D3" s="44">
        <f>IF(DAY(AugSun1)=1,AugSun1-5,AugSun1+2)</f>
        <v>44040</v>
      </c>
      <c r="E3" s="44">
        <f>IF(DAY(AugSun1)=1,AugSun1-4,AugSun1+3)</f>
        <v>44041</v>
      </c>
      <c r="F3" s="135">
        <f>IF(DAY(AugSun1)=1,AugSun1-3,AugSun1+4)</f>
        <v>44042</v>
      </c>
      <c r="G3" s="44">
        <f>IF(DAY(AugSun1)=1,AugSun1-2,AugSun1+5)</f>
        <v>44043</v>
      </c>
      <c r="H3" s="44">
        <f>IF(DAY(AugSun1)=1,AugSun1-1,AugSun1+6)</f>
        <v>44044</v>
      </c>
      <c r="I3" s="44">
        <f>IF(DAY(AugSun1)=1,AugSun1,AugSun1+7)</f>
        <v>44045</v>
      </c>
      <c r="J3" s="85">
        <v>44049</v>
      </c>
      <c r="K3" s="128" t="s">
        <v>48</v>
      </c>
    </row>
    <row r="4" spans="1:11" ht="30" customHeight="1" x14ac:dyDescent="0.35">
      <c r="A4" s="4"/>
      <c r="B4" s="58"/>
      <c r="C4" s="44">
        <f>IF(DAY(AugSun1)=1,AugSun1+1,AugSun1+8)</f>
        <v>44046</v>
      </c>
      <c r="D4" s="44">
        <f>IF(DAY(AugSun1)=1,AugSun1+2,AugSun1+9)</f>
        <v>44047</v>
      </c>
      <c r="E4" s="44">
        <f>IF(DAY(AugSun1)=1,AugSun1+3,AugSun1+10)</f>
        <v>44048</v>
      </c>
      <c r="F4" s="129">
        <f>IF(DAY(AugSun1)=1,AugSun1+4,AugSun1+11)</f>
        <v>44049</v>
      </c>
      <c r="G4" s="44">
        <f>IF(DAY(AugSun1)=1,AugSun1+5,AugSun1+12)</f>
        <v>44050</v>
      </c>
      <c r="H4" s="44">
        <f>IF(DAY(AugSun1)=1,AugSun1+6,AugSun1+13)</f>
        <v>44051</v>
      </c>
      <c r="I4" s="44">
        <f>IF(DAY(AugSun1)=1,AugSun1+7,AugSun1+14)</f>
        <v>44052</v>
      </c>
      <c r="J4" s="70"/>
      <c r="K4" s="102"/>
    </row>
    <row r="5" spans="1:11" ht="30" customHeight="1" x14ac:dyDescent="0.35">
      <c r="A5" s="4"/>
      <c r="B5" s="58"/>
      <c r="C5" s="44">
        <f>IF(DAY(AugSun1)=1,AugSun1+8,AugSun1+15)</f>
        <v>44053</v>
      </c>
      <c r="D5" s="129">
        <f>IF(DAY(AugSun1)=1,AugSun1+9,AugSun1+16)</f>
        <v>44054</v>
      </c>
      <c r="E5" s="44">
        <f>IF(DAY(AugSun1)=1,AugSun1+10,AugSun1+17)</f>
        <v>44055</v>
      </c>
      <c r="F5" s="129">
        <f>IF(DAY(AugSun1)=1,AugSun1+11,AugSun1+18)</f>
        <v>44056</v>
      </c>
      <c r="G5" s="44">
        <f>IF(DAY(AugSun1)=1,AugSun1+12,AugSun1+19)</f>
        <v>44057</v>
      </c>
      <c r="H5" s="44">
        <f>IF(DAY(AugSun1)=1,AugSun1+13,AugSun1+20)</f>
        <v>44058</v>
      </c>
      <c r="I5" s="44">
        <f>IF(DAY(AugSun1)=1,AugSun1+14,AugSun1+21)</f>
        <v>44059</v>
      </c>
      <c r="J5" s="70"/>
      <c r="K5" s="102"/>
    </row>
    <row r="6" spans="1:11" ht="30" customHeight="1" x14ac:dyDescent="0.35">
      <c r="A6" s="4"/>
      <c r="B6" s="58"/>
      <c r="C6" s="44">
        <f>IF(DAY(AugSun1)=1,AugSun1+15,AugSun1+22)</f>
        <v>44060</v>
      </c>
      <c r="D6" s="44">
        <f>IF(DAY(AugSun1)=1,AugSun1+16,AugSun1+23)</f>
        <v>44061</v>
      </c>
      <c r="E6" s="44">
        <f>IF(DAY(AugSun1)=1,AugSun1+17,AugSun1+24)</f>
        <v>44062</v>
      </c>
      <c r="F6" s="129">
        <f>IF(DAY(AugSun1)=1,AugSun1+18,AugSun1+25)</f>
        <v>44063</v>
      </c>
      <c r="G6" s="44">
        <f>IF(DAY(AugSun1)=1,AugSun1+19,AugSun1+26)</f>
        <v>44064</v>
      </c>
      <c r="H6" s="44">
        <f>IF(DAY(AugSun1)=1,AugSun1+20,AugSun1+27)</f>
        <v>44065</v>
      </c>
      <c r="I6" s="44">
        <f>IF(DAY(AugSun1)=1,AugSun1+21,AugSun1+28)</f>
        <v>44066</v>
      </c>
      <c r="J6" s="70"/>
      <c r="K6" s="102"/>
    </row>
    <row r="7" spans="1:11" ht="30" customHeight="1" x14ac:dyDescent="0.35">
      <c r="A7" s="4"/>
      <c r="B7" s="58"/>
      <c r="C7" s="44">
        <f>IF(DAY(AugSun1)=1,AugSun1+22,AugSun1+29)</f>
        <v>44067</v>
      </c>
      <c r="D7" s="129">
        <f>IF(DAY(AugSun1)=1,AugSun1+23,AugSun1+30)</f>
        <v>44068</v>
      </c>
      <c r="E7" s="44">
        <f>IF(DAY(AugSun1)=1,AugSun1+24,AugSun1+31)</f>
        <v>44069</v>
      </c>
      <c r="F7" s="44">
        <f>IF(DAY(AugSun1)=1,AugSun1+25,AugSun1+32)</f>
        <v>44070</v>
      </c>
      <c r="G7" s="44">
        <f>IF(DAY(AugSun1)=1,AugSun1+26,AugSun1+33)</f>
        <v>44071</v>
      </c>
      <c r="H7" s="44">
        <f>IF(DAY(AugSun1)=1,AugSun1+27,AugSun1+34)</f>
        <v>44072</v>
      </c>
      <c r="I7" s="44">
        <f>IF(DAY(AugSun1)=1,AugSun1+28,AugSun1+35)</f>
        <v>44073</v>
      </c>
      <c r="J7" s="71"/>
      <c r="K7" s="105"/>
    </row>
    <row r="8" spans="1:11" ht="15.5" x14ac:dyDescent="0.35">
      <c r="A8" s="4"/>
      <c r="B8" s="59"/>
      <c r="C8" s="44">
        <f>IF(DAY(AugSun1)=1,AugSun1+29,AugSun1+36)</f>
        <v>44074</v>
      </c>
      <c r="D8" s="44">
        <f>IF(DAY(AugSun1)=1,AugSun1+30,AugSun1+37)</f>
        <v>44075</v>
      </c>
      <c r="E8" s="44">
        <f>IF(DAY(AugSun1)=1,AugSun1+31,AugSun1+38)</f>
        <v>44076</v>
      </c>
      <c r="F8" s="44">
        <f>IF(DAY(AugSun1)=1,AugSun1+32,AugSun1+39)</f>
        <v>44077</v>
      </c>
      <c r="G8" s="44">
        <f>IF(DAY(AugSun1)=1,AugSun1+33,AugSun1+40)</f>
        <v>44078</v>
      </c>
      <c r="H8" s="44">
        <f>IF(DAY(AugSun1)=1,AugSun1+34,AugSun1+41)</f>
        <v>44079</v>
      </c>
      <c r="I8" s="44">
        <f>IF(DAY(AugSun1)=1,AugSun1+35,AugSun1+42)</f>
        <v>44080</v>
      </c>
      <c r="J8" s="72" t="s">
        <v>28</v>
      </c>
      <c r="K8" s="134"/>
    </row>
    <row r="9" spans="1:11" ht="30" customHeight="1" x14ac:dyDescent="0.35">
      <c r="A9" s="4"/>
      <c r="B9" s="58"/>
      <c r="C9" s="68"/>
      <c r="D9" s="68"/>
      <c r="E9" s="68"/>
      <c r="F9" s="68"/>
      <c r="G9" s="68"/>
      <c r="H9" s="68"/>
      <c r="I9" s="68"/>
      <c r="J9" s="85">
        <v>44054</v>
      </c>
      <c r="K9" s="128" t="s">
        <v>47</v>
      </c>
    </row>
    <row r="10" spans="1:11" ht="30" customHeight="1" x14ac:dyDescent="0.35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85">
        <v>44056</v>
      </c>
      <c r="K10" s="128" t="s">
        <v>49</v>
      </c>
    </row>
    <row r="11" spans="1:11" ht="30" customHeight="1" x14ac:dyDescent="0.35">
      <c r="A11" s="10" t="s">
        <v>25</v>
      </c>
      <c r="B11" s="34" t="s">
        <v>1</v>
      </c>
      <c r="C11" s="124" t="s">
        <v>2</v>
      </c>
      <c r="D11" s="125"/>
      <c r="E11" s="124" t="s">
        <v>4</v>
      </c>
      <c r="F11" s="125"/>
      <c r="G11" s="124" t="s">
        <v>5</v>
      </c>
      <c r="H11" s="125"/>
      <c r="I11" s="35" t="s">
        <v>6</v>
      </c>
      <c r="J11" s="70"/>
      <c r="K11" s="102"/>
    </row>
    <row r="12" spans="1:11" ht="30" customHeight="1" x14ac:dyDescent="0.35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70"/>
      <c r="K12" s="102"/>
    </row>
    <row r="13" spans="1:11" ht="30" customHeight="1" x14ac:dyDescent="0.35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71"/>
      <c r="K13" s="105"/>
    </row>
    <row r="14" spans="1:11" ht="42.5" x14ac:dyDescent="0.35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73" t="s">
        <v>29</v>
      </c>
      <c r="K14" s="102"/>
    </row>
    <row r="15" spans="1:11" ht="30.75" customHeight="1" x14ac:dyDescent="0.35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85">
        <v>44063</v>
      </c>
      <c r="K15" s="128" t="s">
        <v>50</v>
      </c>
    </row>
    <row r="16" spans="1:11" ht="30" customHeight="1" x14ac:dyDescent="0.35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70"/>
      <c r="K16" s="102"/>
    </row>
    <row r="17" spans="1:11" ht="30" customHeight="1" x14ac:dyDescent="0.35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70"/>
      <c r="K17" s="102"/>
    </row>
    <row r="18" spans="1:11" ht="30" customHeight="1" x14ac:dyDescent="0.35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70"/>
      <c r="K18" s="102"/>
    </row>
    <row r="19" spans="1:11" ht="30" customHeight="1" x14ac:dyDescent="0.35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71"/>
      <c r="K19" s="108"/>
    </row>
    <row r="20" spans="1:11" ht="42.5" x14ac:dyDescent="0.35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74" t="s">
        <v>30</v>
      </c>
      <c r="K20" s="102"/>
    </row>
    <row r="21" spans="1:11" ht="30" customHeight="1" x14ac:dyDescent="0.35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85">
        <v>44068</v>
      </c>
      <c r="K21" s="128" t="s">
        <v>51</v>
      </c>
    </row>
    <row r="22" spans="1:11" ht="30" customHeight="1" x14ac:dyDescent="0.35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70"/>
      <c r="K22" s="102"/>
    </row>
    <row r="23" spans="1:11" ht="30" customHeight="1" x14ac:dyDescent="0.35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75"/>
      <c r="K23" s="84"/>
    </row>
    <row r="24" spans="1:11" ht="30" customHeight="1" x14ac:dyDescent="0.35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70"/>
      <c r="K24" s="102"/>
    </row>
    <row r="25" spans="1:11" ht="30" customHeight="1" x14ac:dyDescent="0.35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71"/>
      <c r="K25" s="102"/>
    </row>
    <row r="26" spans="1:11" ht="30" customHeight="1" x14ac:dyDescent="0.35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76" t="s">
        <v>36</v>
      </c>
      <c r="K26" s="102"/>
    </row>
    <row r="27" spans="1:11" ht="30" customHeight="1" x14ac:dyDescent="0.35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70"/>
      <c r="K27" s="102"/>
    </row>
    <row r="28" spans="1:11" ht="30" customHeight="1" x14ac:dyDescent="0.35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70"/>
      <c r="K28" s="102"/>
    </row>
    <row r="29" spans="1:11" ht="30" customHeight="1" x14ac:dyDescent="0.35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70"/>
      <c r="K29" s="102"/>
    </row>
    <row r="30" spans="1:11" ht="30" customHeight="1" x14ac:dyDescent="0.35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70"/>
      <c r="K30" s="102"/>
    </row>
    <row r="31" spans="1:11" ht="30" customHeight="1" x14ac:dyDescent="0.35">
      <c r="A31" s="10" t="s">
        <v>24</v>
      </c>
      <c r="B31" s="20"/>
      <c r="C31" s="126"/>
      <c r="D31" s="126"/>
      <c r="E31" s="126"/>
      <c r="F31" s="126"/>
      <c r="G31" s="126"/>
      <c r="H31" s="126"/>
      <c r="I31" s="21"/>
      <c r="J31" s="70"/>
      <c r="K31" s="98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55" priority="6" stopIfTrue="1">
      <formula>DAY(C3)&gt;8</formula>
    </cfRule>
  </conditionalFormatting>
  <conditionalFormatting sqref="C7:I8">
    <cfRule type="expression" dxfId="54" priority="5" stopIfTrue="1">
      <formula>AND(DAY(C7)&gt;=1,DAY(C7)&lt;=15)</formula>
    </cfRule>
  </conditionalFormatting>
  <conditionalFormatting sqref="C3:I8">
    <cfRule type="expression" dxfId="53" priority="7">
      <formula>VLOOKUP(DAY(C3),AssignmentDays,1,FALSE)=DAY(C3)</formula>
    </cfRule>
  </conditionalFormatting>
  <conditionalFormatting sqref="B12:I12 B14:I14 B16:I16 B18:I18 B20:I20 B22:I22 B24:I24 B26:I26 B28:I28 B30:I30">
    <cfRule type="expression" dxfId="52" priority="4">
      <formula>B12&lt;&gt;""</formula>
    </cfRule>
  </conditionalFormatting>
  <conditionalFormatting sqref="B13:I13 B15:I15 B17:I17 B19:I19 B21:I21 B23:I23 B25:I25 B27:I27 B29:I29 B31:I31">
    <cfRule type="expression" dxfId="51" priority="3">
      <formula>B12&lt;&gt;""</formula>
    </cfRule>
  </conditionalFormatting>
  <conditionalFormatting sqref="B13:I13 B15:I15 B17:I17 B19:I19 B21:I21 B23:I23 B25:I25 B27:I27 B29:I29">
    <cfRule type="expression" dxfId="50" priority="2">
      <formula>COLUMN(B13)&gt;=2</formula>
    </cfRule>
  </conditionalFormatting>
  <conditionalFormatting sqref="B12:I31">
    <cfRule type="expression" dxfId="49" priority="1">
      <formula>COLUMN(B12)&gt;2</formula>
    </cfRule>
  </conditionalFormatting>
  <dataValidations xWindow="132" yWindow="585" count="12">
    <dataValidation allowBlank="1" showInputMessage="1" showErrorMessage="1" prompt="August calendar automatically highlights assignment list entries for the month. Darker fonts are assignments. Lighter fonts are days that belong to the previous or next month" sqref="B2" xr:uid="{00000000-0002-0000-0700-000000000000}"/>
    <dataValidation allowBlank="1" showInputMessage="1" showErrorMessage="1" prompt="Automatically updated calendar year. To change the year, update cell B1 on Jan worksheet" sqref="B1" xr:uid="{00000000-0002-0000-0700-000001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700-000002000000}"/>
    <dataValidation allowBlank="1" showInputMessage="1" showErrorMessage="1" prompt="Cells C2:I2 contain weekdays" sqref="C2" xr:uid="{00000000-0002-0000-0700-000003000000}"/>
    <dataValidation allowBlank="1" showInputMessage="1" showErrorMessage="1" prompt="If this cell doesn’t contain the number 1, then it is a day from a previous month. Cells C3:I8 contain dates for the current month" sqref="C3" xr:uid="{00000000-0002-0000-0700-000004000000}"/>
    <dataValidation allowBlank="1" showInputMessage="1" showErrorMessage="1" prompt="If this row contains a number less than the previous number or row of numbers, then this row contains dates for the next calendar month" sqref="C8" xr:uid="{00000000-0002-0000-0700-000005000000}"/>
    <dataValidation allowBlank="1" showInputMessage="1" showErrorMessage="1" prompt="Enter time in this row  from columns B to I" sqref="B12" xr:uid="{00000000-0002-0000-0700-000006000000}"/>
    <dataValidation allowBlank="1" showInputMessage="1" showErrorMessage="1" prompt="Enter class in this row from columns B to I" sqref="B13" xr:uid="{00000000-0002-0000-07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7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700-000009000000}"/>
    <dataValidation allowBlank="1" showInputMessage="1" showErrorMessage="1" prompt="Weekdays are in this row, from Monday to Friday" sqref="B11" xr:uid="{00000000-0002-0000-07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700-00000C000000}"/>
  </dataValidations>
  <hyperlinks>
    <hyperlink ref="K9" r:id="rId1" xr:uid="{FFD907FE-B543-4E87-8FFD-4B1952C762B9}"/>
    <hyperlink ref="D5" r:id="rId2" display="https://tcfsps.wufoo.com/forms/z4jzmf810s7kiu/" xr:uid="{9F3D1765-8998-4EC5-944A-F7E5E8658528}"/>
    <hyperlink ref="K3" r:id="rId3" xr:uid="{0B30171D-B060-46CC-99A5-607E549D7161}"/>
    <hyperlink ref="F4" r:id="rId4" display="https://tcfsps.wufoo.com/forms/zdn7uap0osrqh3/" xr:uid="{EC4A42A4-1507-49ED-B102-D33D6F3BA58B}"/>
    <hyperlink ref="K10" r:id="rId5" xr:uid="{62185212-A55A-48E8-AFEF-FA6BF5C9CCDB}"/>
    <hyperlink ref="F5" r:id="rId6" display="https://tcfsps.wufoo.com/forms/z1l8jx4n0qahszu/" xr:uid="{EAD9831A-8D39-4102-A93C-2393382A9548}"/>
    <hyperlink ref="K15" r:id="rId7" xr:uid="{C020C1ED-917C-4AC5-82CE-AD5A7A3441F0}"/>
    <hyperlink ref="F6" r:id="rId8" display="https://tcfsps.wufoo.com/forms/z1yiw8p80nehv2a/" xr:uid="{E0C4140D-A16F-4A42-87D6-C54B483EBEFA}"/>
    <hyperlink ref="D7" r:id="rId9" display="https://tcfsps.wufoo.com/forms/z1k16v3i0jcdx70/" xr:uid="{1605E9BC-6C7C-4F57-94AC-6CBC399C06C8}"/>
    <hyperlink ref="K21" r:id="rId10" xr:uid="{63F86B93-5E71-487A-8AD1-E462F94B8A05}"/>
  </hyperlinks>
  <printOptions horizontalCentered="1" verticalCentered="1"/>
  <pageMargins left="0.5" right="0.5" top="0.5" bottom="0.5" header="0.3" footer="0.3"/>
  <pageSetup scale="58" orientation="landscape" r:id="rId11"/>
  <drawing r:id="rId12"/>
  <tableParts count="1">
    <tablePart r:id="rId1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K31"/>
  <sheetViews>
    <sheetView showGridLines="0" topLeftCell="C1" zoomScale="90" zoomScaleNormal="90" zoomScalePageLayoutView="84" workbookViewId="0">
      <selection activeCell="D4" sqref="D4"/>
    </sheetView>
  </sheetViews>
  <sheetFormatPr defaultColWidth="8.58203125" defaultRowHeight="30" customHeight="1" x14ac:dyDescent="0.4"/>
  <cols>
    <col min="1" max="1" width="2.58203125" style="1" customWidth="1"/>
    <col min="2" max="2" width="20.58203125" style="5" customWidth="1"/>
    <col min="3" max="8" width="10.58203125" style="1" customWidth="1"/>
    <col min="9" max="9" width="20.58203125" style="1" customWidth="1"/>
    <col min="10" max="10" width="10.58203125" style="26" customWidth="1"/>
    <col min="11" max="11" width="70.58203125" style="99" customWidth="1"/>
    <col min="12" max="12" width="2.58203125" customWidth="1"/>
  </cols>
  <sheetData>
    <row r="1" spans="1:11" s="50" customFormat="1" ht="90" customHeight="1" x14ac:dyDescent="0.4">
      <c r="B1" s="51">
        <f>CalendarYear</f>
        <v>2020</v>
      </c>
      <c r="C1" s="121" t="s">
        <v>35</v>
      </c>
      <c r="D1" s="121"/>
      <c r="E1" s="121"/>
      <c r="F1" s="121"/>
      <c r="G1" s="121"/>
      <c r="H1" s="121"/>
      <c r="I1" s="121"/>
      <c r="J1" s="52" t="s">
        <v>33</v>
      </c>
      <c r="K1" s="53" t="s">
        <v>26</v>
      </c>
    </row>
    <row r="2" spans="1:11" x14ac:dyDescent="0.4">
      <c r="A2" s="4"/>
      <c r="B2" s="60" t="s">
        <v>14</v>
      </c>
      <c r="C2" s="111" t="s">
        <v>1</v>
      </c>
      <c r="D2" s="111" t="s">
        <v>18</v>
      </c>
      <c r="E2" s="111" t="s">
        <v>4</v>
      </c>
      <c r="F2" s="111" t="s">
        <v>19</v>
      </c>
      <c r="G2" s="111" t="s">
        <v>6</v>
      </c>
      <c r="H2" s="111" t="s">
        <v>20</v>
      </c>
      <c r="I2" s="111" t="s">
        <v>21</v>
      </c>
      <c r="J2" s="39" t="s">
        <v>27</v>
      </c>
      <c r="K2" s="29"/>
    </row>
    <row r="3" spans="1:11" ht="18" x14ac:dyDescent="0.4">
      <c r="A3" s="4"/>
      <c r="B3" s="58"/>
      <c r="C3" s="44">
        <f>IF(DAY(SepSun1)=1,SepSun1-6,SepSun1+1)</f>
        <v>44074</v>
      </c>
      <c r="D3" s="44">
        <f>IF(DAY(SepSun1)=1,SepSun1-5,SepSun1+2)</f>
        <v>44075</v>
      </c>
      <c r="E3" s="44">
        <f>IF(DAY(SepSun1)=1,SepSun1-4,SepSun1+3)</f>
        <v>44076</v>
      </c>
      <c r="F3" s="44">
        <f>IF(DAY(SepSun1)=1,SepSun1-3,SepSun1+4)</f>
        <v>44077</v>
      </c>
      <c r="G3" s="44">
        <f>IF(DAY(SepSun1)=1,SepSun1-2,SepSun1+5)</f>
        <v>44078</v>
      </c>
      <c r="H3" s="44">
        <f>IF(DAY(SepSun1)=1,SepSun1-1,SepSun1+6)</f>
        <v>44079</v>
      </c>
      <c r="I3" s="44">
        <f>IF(DAY(SepSun1)=1,SepSun1,SepSun1+7)</f>
        <v>44080</v>
      </c>
      <c r="J3" s="54"/>
      <c r="K3" s="86"/>
    </row>
    <row r="4" spans="1:11" ht="30" customHeight="1" x14ac:dyDescent="0.4">
      <c r="A4" s="4"/>
      <c r="B4" s="58"/>
      <c r="C4" s="44">
        <f>IF(DAY(SepSun1)=1,SepSun1+1,SepSun1+8)</f>
        <v>44081</v>
      </c>
      <c r="D4" s="129">
        <f>IF(DAY(SepSun1)=1,SepSun1+2,SepSun1+9)</f>
        <v>44082</v>
      </c>
      <c r="E4" s="44">
        <f>IF(DAY(SepSun1)=1,SepSun1+3,SepSun1+10)</f>
        <v>44083</v>
      </c>
      <c r="F4" s="44">
        <f>IF(DAY(SepSun1)=1,SepSun1+4,SepSun1+11)</f>
        <v>44084</v>
      </c>
      <c r="G4" s="44">
        <f>IF(DAY(SepSun1)=1,SepSun1+5,SepSun1+12)</f>
        <v>44085</v>
      </c>
      <c r="H4" s="44">
        <f>IF(DAY(SepSun1)=1,SepSun1+6,SepSun1+13)</f>
        <v>44086</v>
      </c>
      <c r="I4" s="44">
        <f>IF(DAY(SepSun1)=1,SepSun1+7,SepSun1+14)</f>
        <v>44087</v>
      </c>
      <c r="J4" s="77"/>
      <c r="K4" s="86"/>
    </row>
    <row r="5" spans="1:11" ht="30" customHeight="1" x14ac:dyDescent="0.4">
      <c r="A5" s="4"/>
      <c r="B5" s="58"/>
      <c r="C5" s="44">
        <f>IF(DAY(SepSun1)=1,SepSun1+8,SepSun1+15)</f>
        <v>44088</v>
      </c>
      <c r="D5" s="44">
        <f>IF(DAY(SepSun1)=1,SepSun1+9,SepSun1+16)</f>
        <v>44089</v>
      </c>
      <c r="E5" s="44">
        <f>IF(DAY(SepSun1)=1,SepSun1+10,SepSun1+17)</f>
        <v>44090</v>
      </c>
      <c r="F5" s="129">
        <f>IF(DAY(SepSun1)=1,SepSun1+11,SepSun1+18)</f>
        <v>44091</v>
      </c>
      <c r="G5" s="44">
        <f>IF(DAY(SepSun1)=1,SepSun1+12,SepSun1+19)</f>
        <v>44092</v>
      </c>
      <c r="H5" s="44">
        <f>IF(DAY(SepSun1)=1,SepSun1+13,SepSun1+20)</f>
        <v>44093</v>
      </c>
      <c r="I5" s="44">
        <f>IF(DAY(SepSun1)=1,SepSun1+14,SepSun1+21)</f>
        <v>44094</v>
      </c>
      <c r="J5" s="54"/>
      <c r="K5" s="86"/>
    </row>
    <row r="6" spans="1:11" ht="30" customHeight="1" x14ac:dyDescent="0.4">
      <c r="A6" s="4"/>
      <c r="B6" s="58"/>
      <c r="C6" s="44">
        <f>IF(DAY(SepSun1)=1,SepSun1+15,SepSun1+22)</f>
        <v>44095</v>
      </c>
      <c r="D6" s="44">
        <f>IF(DAY(SepSun1)=1,SepSun1+16,SepSun1+23)</f>
        <v>44096</v>
      </c>
      <c r="E6" s="44">
        <f>IF(DAY(SepSun1)=1,SepSun1+17,SepSun1+24)</f>
        <v>44097</v>
      </c>
      <c r="F6" s="44">
        <f>IF(DAY(SepSun1)=1,SepSun1+18,SepSun1+25)</f>
        <v>44098</v>
      </c>
      <c r="G6" s="44">
        <f>IF(DAY(SepSun1)=1,SepSun1+19,SepSun1+26)</f>
        <v>44099</v>
      </c>
      <c r="H6" s="44">
        <f>IF(DAY(SepSun1)=1,SepSun1+20,SepSun1+27)</f>
        <v>44100</v>
      </c>
      <c r="I6" s="44">
        <f>IF(DAY(SepSun1)=1,SepSun1+21,SepSun1+28)</f>
        <v>44101</v>
      </c>
      <c r="J6" s="54"/>
      <c r="K6" s="86"/>
    </row>
    <row r="7" spans="1:11" ht="30" customHeight="1" x14ac:dyDescent="0.4">
      <c r="A7" s="4"/>
      <c r="B7" s="58"/>
      <c r="C7" s="44">
        <f>IF(DAY(SepSun1)=1,SepSun1+22,SepSun1+29)</f>
        <v>44102</v>
      </c>
      <c r="D7" s="44">
        <f>IF(DAY(SepSun1)=1,SepSun1+23,SepSun1+30)</f>
        <v>44103</v>
      </c>
      <c r="E7" s="44">
        <f>IF(DAY(SepSun1)=1,SepSun1+24,SepSun1+31)</f>
        <v>44104</v>
      </c>
      <c r="F7" s="44">
        <f>IF(DAY(SepSun1)=1,SepSun1+25,SepSun1+32)</f>
        <v>44105</v>
      </c>
      <c r="G7" s="44">
        <f>IF(DAY(SepSun1)=1,SepSun1+26,SepSun1+33)</f>
        <v>44106</v>
      </c>
      <c r="H7" s="44">
        <f>IF(DAY(SepSun1)=1,SepSun1+27,SepSun1+34)</f>
        <v>44107</v>
      </c>
      <c r="I7" s="44">
        <f>IF(DAY(SepSun1)=1,SepSun1+28,SepSun1+35)</f>
        <v>44108</v>
      </c>
      <c r="J7" s="61"/>
      <c r="K7" s="95"/>
    </row>
    <row r="8" spans="1:11" ht="39.65" customHeight="1" x14ac:dyDescent="0.4">
      <c r="A8" s="4"/>
      <c r="B8" s="59"/>
      <c r="C8" s="44">
        <f>IF(DAY(SepSun1)=1,SepSun1+29,SepSun1+36)</f>
        <v>44109</v>
      </c>
      <c r="D8" s="44">
        <f>IF(DAY(SepSun1)=1,SepSun1+30,SepSun1+37)</f>
        <v>44110</v>
      </c>
      <c r="E8" s="44">
        <f>IF(DAY(SepSun1)=1,SepSun1+31,SepSun1+38)</f>
        <v>44111</v>
      </c>
      <c r="F8" s="44">
        <f>IF(DAY(SepSun1)=1,SepSun1+32,SepSun1+39)</f>
        <v>44112</v>
      </c>
      <c r="G8" s="44">
        <f>IF(DAY(SepSun1)=1,SepSun1+33,SepSun1+40)</f>
        <v>44113</v>
      </c>
      <c r="H8" s="44">
        <f>IF(DAY(SepSun1)=1,SepSun1+34,SepSun1+41)</f>
        <v>44114</v>
      </c>
      <c r="I8" s="44">
        <f>IF(DAY(SepSun1)=1,SepSun1+35,SepSun1+42)</f>
        <v>44115</v>
      </c>
      <c r="J8" s="40" t="s">
        <v>28</v>
      </c>
      <c r="K8" s="86"/>
    </row>
    <row r="9" spans="1:11" ht="38.15" customHeight="1" x14ac:dyDescent="0.4">
      <c r="A9" s="4"/>
      <c r="B9" s="58"/>
      <c r="C9" s="68"/>
      <c r="D9" s="68"/>
      <c r="E9" s="68"/>
      <c r="F9" s="68"/>
      <c r="G9" s="68"/>
      <c r="H9" s="68"/>
      <c r="I9" s="68"/>
      <c r="J9" s="81">
        <v>44082</v>
      </c>
      <c r="K9" s="128" t="s">
        <v>52</v>
      </c>
    </row>
    <row r="10" spans="1:11" ht="30" customHeight="1" x14ac:dyDescent="0.4">
      <c r="A10" s="4"/>
      <c r="B10" s="48" t="s">
        <v>3</v>
      </c>
      <c r="C10" s="56"/>
      <c r="D10" s="56"/>
      <c r="E10" s="56"/>
      <c r="F10" s="56"/>
      <c r="G10" s="56"/>
      <c r="H10" s="56"/>
      <c r="I10" s="56"/>
      <c r="J10" s="77"/>
      <c r="K10" s="86"/>
    </row>
    <row r="11" spans="1:11" ht="30" customHeight="1" x14ac:dyDescent="0.4">
      <c r="A11" s="10" t="s">
        <v>25</v>
      </c>
      <c r="B11" s="34" t="s">
        <v>1</v>
      </c>
      <c r="C11" s="124" t="s">
        <v>2</v>
      </c>
      <c r="D11" s="125"/>
      <c r="E11" s="124" t="s">
        <v>4</v>
      </c>
      <c r="F11" s="125"/>
      <c r="G11" s="124" t="s">
        <v>5</v>
      </c>
      <c r="H11" s="125"/>
      <c r="I11" s="35" t="s">
        <v>6</v>
      </c>
      <c r="J11" s="77"/>
      <c r="K11" s="86"/>
    </row>
    <row r="12" spans="1:11" ht="30" customHeight="1" x14ac:dyDescent="0.4">
      <c r="A12" s="10" t="s">
        <v>23</v>
      </c>
      <c r="B12" s="7"/>
      <c r="C12" s="115"/>
      <c r="D12" s="115"/>
      <c r="E12" s="115"/>
      <c r="F12" s="115"/>
      <c r="G12" s="115"/>
      <c r="H12" s="115"/>
      <c r="I12" s="8"/>
      <c r="J12" s="54"/>
      <c r="K12" s="86"/>
    </row>
    <row r="13" spans="1:11" ht="30" customHeight="1" x14ac:dyDescent="0.4">
      <c r="A13" s="10" t="s">
        <v>24</v>
      </c>
      <c r="B13" s="11"/>
      <c r="C13" s="116"/>
      <c r="D13" s="116"/>
      <c r="E13" s="116"/>
      <c r="F13" s="116"/>
      <c r="G13" s="116"/>
      <c r="H13" s="116"/>
      <c r="I13" s="17"/>
      <c r="J13" s="61"/>
      <c r="K13" s="95"/>
    </row>
    <row r="14" spans="1:11" ht="38.15" customHeight="1" x14ac:dyDescent="0.4">
      <c r="A14" s="10" t="s">
        <v>23</v>
      </c>
      <c r="B14" s="7"/>
      <c r="C14" s="115"/>
      <c r="D14" s="115"/>
      <c r="E14" s="115"/>
      <c r="F14" s="115"/>
      <c r="G14" s="115"/>
      <c r="H14" s="115"/>
      <c r="I14" s="8"/>
      <c r="J14" s="41" t="s">
        <v>29</v>
      </c>
      <c r="K14" s="86"/>
    </row>
    <row r="15" spans="1:11" ht="45" customHeight="1" x14ac:dyDescent="0.4">
      <c r="A15" s="10" t="s">
        <v>24</v>
      </c>
      <c r="B15" s="11"/>
      <c r="C15" s="116"/>
      <c r="D15" s="116"/>
      <c r="E15" s="116"/>
      <c r="F15" s="116"/>
      <c r="G15" s="116"/>
      <c r="H15" s="116"/>
      <c r="I15" s="17"/>
      <c r="J15" s="81">
        <v>44091</v>
      </c>
      <c r="K15" s="128" t="s">
        <v>53</v>
      </c>
    </row>
    <row r="16" spans="1:11" ht="43" x14ac:dyDescent="0.4">
      <c r="A16" s="10" t="s">
        <v>23</v>
      </c>
      <c r="B16" s="7"/>
      <c r="C16" s="115"/>
      <c r="D16" s="115"/>
      <c r="E16" s="115"/>
      <c r="F16" s="115"/>
      <c r="G16" s="115"/>
      <c r="H16" s="115"/>
      <c r="I16" s="9"/>
      <c r="J16" s="77"/>
      <c r="K16" s="86"/>
    </row>
    <row r="17" spans="1:11" ht="30" customHeight="1" x14ac:dyDescent="0.4">
      <c r="A17" s="10" t="s">
        <v>24</v>
      </c>
      <c r="B17" s="11"/>
      <c r="C17" s="116"/>
      <c r="D17" s="116"/>
      <c r="E17" s="116"/>
      <c r="F17" s="116"/>
      <c r="G17" s="116"/>
      <c r="H17" s="116"/>
      <c r="I17" s="17"/>
      <c r="J17" s="54"/>
      <c r="K17" s="86"/>
    </row>
    <row r="18" spans="1:11" ht="41.15" customHeight="1" x14ac:dyDescent="0.4">
      <c r="A18" s="10" t="s">
        <v>23</v>
      </c>
      <c r="B18" s="7"/>
      <c r="C18" s="115"/>
      <c r="D18" s="115"/>
      <c r="E18" s="115"/>
      <c r="F18" s="115"/>
      <c r="G18" s="115"/>
      <c r="H18" s="115"/>
      <c r="I18" s="8"/>
      <c r="J18" s="54"/>
      <c r="K18" s="86"/>
    </row>
    <row r="19" spans="1:11" ht="30" customHeight="1" x14ac:dyDescent="0.4">
      <c r="A19" s="10" t="s">
        <v>24</v>
      </c>
      <c r="B19" s="11"/>
      <c r="C19" s="116"/>
      <c r="D19" s="116"/>
      <c r="E19" s="116"/>
      <c r="F19" s="116"/>
      <c r="G19" s="116"/>
      <c r="H19" s="116"/>
      <c r="I19" s="18"/>
      <c r="J19" s="61"/>
      <c r="K19" s="110"/>
    </row>
    <row r="20" spans="1:11" ht="45" customHeight="1" x14ac:dyDescent="0.4">
      <c r="A20" s="10" t="s">
        <v>23</v>
      </c>
      <c r="B20" s="7"/>
      <c r="C20" s="115"/>
      <c r="D20" s="115"/>
      <c r="E20" s="115"/>
      <c r="F20" s="115"/>
      <c r="G20" s="115"/>
      <c r="H20" s="115"/>
      <c r="I20" s="8"/>
      <c r="J20" s="42" t="s">
        <v>30</v>
      </c>
      <c r="K20" s="86"/>
    </row>
    <row r="21" spans="1:11" ht="36.75" customHeight="1" x14ac:dyDescent="0.4">
      <c r="A21" s="10" t="s">
        <v>24</v>
      </c>
      <c r="B21" s="11"/>
      <c r="C21" s="116"/>
      <c r="D21" s="116"/>
      <c r="E21" s="116"/>
      <c r="F21" s="116"/>
      <c r="G21" s="116"/>
      <c r="H21" s="116"/>
      <c r="I21" s="17"/>
      <c r="J21" s="77"/>
      <c r="K21" s="84"/>
    </row>
    <row r="22" spans="1:11" ht="30" customHeight="1" x14ac:dyDescent="0.4">
      <c r="A22" s="10" t="s">
        <v>23</v>
      </c>
      <c r="B22" s="7"/>
      <c r="C22" s="115"/>
      <c r="D22" s="115"/>
      <c r="E22" s="115"/>
      <c r="F22" s="115"/>
      <c r="G22" s="115"/>
      <c r="H22" s="115"/>
      <c r="I22" s="8"/>
      <c r="J22" s="54"/>
      <c r="K22" s="86"/>
    </row>
    <row r="23" spans="1:11" ht="30" customHeight="1" x14ac:dyDescent="0.4">
      <c r="A23" s="10" t="s">
        <v>24</v>
      </c>
      <c r="B23" s="11"/>
      <c r="C23" s="116"/>
      <c r="D23" s="116"/>
      <c r="E23" s="116"/>
      <c r="F23" s="116"/>
      <c r="G23" s="116"/>
      <c r="H23" s="116"/>
      <c r="I23" s="17"/>
      <c r="J23" s="54"/>
      <c r="K23" s="86"/>
    </row>
    <row r="24" spans="1:11" ht="30" customHeight="1" x14ac:dyDescent="0.4">
      <c r="A24" s="10" t="s">
        <v>23</v>
      </c>
      <c r="B24" s="7"/>
      <c r="C24" s="115"/>
      <c r="D24" s="115"/>
      <c r="E24" s="115"/>
      <c r="F24" s="115"/>
      <c r="G24" s="115"/>
      <c r="H24" s="115"/>
      <c r="I24" s="8"/>
      <c r="J24" s="54"/>
      <c r="K24" s="86"/>
    </row>
    <row r="25" spans="1:11" ht="45" customHeight="1" x14ac:dyDescent="0.4">
      <c r="A25" s="10" t="s">
        <v>24</v>
      </c>
      <c r="B25" s="11"/>
      <c r="C25" s="116"/>
      <c r="D25" s="116"/>
      <c r="E25" s="116"/>
      <c r="F25" s="116"/>
      <c r="G25" s="116"/>
      <c r="H25" s="116"/>
      <c r="I25" s="17"/>
      <c r="J25" s="61"/>
      <c r="K25" s="110"/>
    </row>
    <row r="26" spans="1:11" ht="30" customHeight="1" x14ac:dyDescent="0.4">
      <c r="A26" s="10" t="s">
        <v>23</v>
      </c>
      <c r="B26" s="7"/>
      <c r="C26" s="115"/>
      <c r="D26" s="115"/>
      <c r="E26" s="115"/>
      <c r="F26" s="115"/>
      <c r="G26" s="115"/>
      <c r="H26" s="115"/>
      <c r="I26" s="8"/>
      <c r="J26" s="78" t="s">
        <v>36</v>
      </c>
      <c r="K26" s="86"/>
    </row>
    <row r="27" spans="1:11" ht="30" customHeight="1" x14ac:dyDescent="0.4">
      <c r="A27" s="10" t="s">
        <v>24</v>
      </c>
      <c r="B27" s="11"/>
      <c r="C27" s="116"/>
      <c r="D27" s="116"/>
      <c r="E27" s="116"/>
      <c r="F27" s="116"/>
      <c r="G27" s="116"/>
      <c r="H27" s="116"/>
      <c r="I27" s="17"/>
      <c r="J27" s="54"/>
      <c r="K27" s="86"/>
    </row>
    <row r="28" spans="1:11" ht="30" customHeight="1" x14ac:dyDescent="0.4">
      <c r="A28" s="10" t="s">
        <v>23</v>
      </c>
      <c r="B28" s="7"/>
      <c r="C28" s="115"/>
      <c r="D28" s="115"/>
      <c r="E28" s="115"/>
      <c r="F28" s="115"/>
      <c r="G28" s="115"/>
      <c r="H28" s="115"/>
      <c r="I28" s="8"/>
      <c r="J28" s="54"/>
      <c r="K28" s="86"/>
    </row>
    <row r="29" spans="1:11" ht="30" customHeight="1" x14ac:dyDescent="0.4">
      <c r="A29" s="10" t="s">
        <v>24</v>
      </c>
      <c r="B29" s="11"/>
      <c r="C29" s="116"/>
      <c r="D29" s="116"/>
      <c r="E29" s="116"/>
      <c r="F29" s="116"/>
      <c r="G29" s="116"/>
      <c r="H29" s="116"/>
      <c r="I29" s="17"/>
      <c r="J29" s="54"/>
      <c r="K29" s="102"/>
    </row>
    <row r="30" spans="1:11" ht="30" customHeight="1" x14ac:dyDescent="0.4">
      <c r="A30" s="10" t="s">
        <v>23</v>
      </c>
      <c r="B30" s="7"/>
      <c r="C30" s="115"/>
      <c r="D30" s="115"/>
      <c r="E30" s="115"/>
      <c r="F30" s="115"/>
      <c r="G30" s="115"/>
      <c r="H30" s="115"/>
      <c r="I30" s="8"/>
      <c r="J30" s="54"/>
      <c r="K30" s="102"/>
    </row>
    <row r="31" spans="1:11" ht="30" customHeight="1" x14ac:dyDescent="0.4">
      <c r="A31" s="10" t="s">
        <v>24</v>
      </c>
      <c r="B31" s="20"/>
      <c r="C31" s="126"/>
      <c r="D31" s="126"/>
      <c r="E31" s="126"/>
      <c r="F31" s="126"/>
      <c r="G31" s="126"/>
      <c r="H31" s="126"/>
      <c r="I31" s="21"/>
      <c r="J31" s="54"/>
      <c r="K31" s="98"/>
    </row>
  </sheetData>
  <mergeCells count="64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:I1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45" priority="6" stopIfTrue="1">
      <formula>DAY(C3)&gt;8</formula>
    </cfRule>
  </conditionalFormatting>
  <conditionalFormatting sqref="C7:I8">
    <cfRule type="expression" dxfId="44" priority="5" stopIfTrue="1">
      <formula>AND(DAY(C7)&gt;=1,DAY(C7)&lt;=15)</formula>
    </cfRule>
  </conditionalFormatting>
  <conditionalFormatting sqref="C3:I8">
    <cfRule type="expression" dxfId="43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42" priority="4">
      <formula>B13&lt;&gt;""</formula>
    </cfRule>
  </conditionalFormatting>
  <conditionalFormatting sqref="B12:I12 B14:I14 B16:I16 B18:I18 B20:I20 B22:I22 B24:I24 B26:I26 B28:I28 B30:I30">
    <cfRule type="expression" dxfId="41" priority="3">
      <formula>B12&lt;&gt;""</formula>
    </cfRule>
  </conditionalFormatting>
  <conditionalFormatting sqref="B13:I13 B15:I15 B17:I17 B19:I19 B21:I21 B23:I23 B25:I25 B27:I27 B29:I29">
    <cfRule type="expression" dxfId="40" priority="2">
      <formula>COLUMN(B13)&gt;=2</formula>
    </cfRule>
  </conditionalFormatting>
  <conditionalFormatting sqref="B12:I31">
    <cfRule type="expression" dxfId="39" priority="1">
      <formula>COLUMN(B12)&gt;2</formula>
    </cfRule>
  </conditionalFormatting>
  <dataValidations count="12">
    <dataValidation allowBlank="1" showInputMessage="1" showErrorMessage="1" prompt="Enter class in this row from columns B to I" sqref="B13" xr:uid="{00000000-0002-0000-0800-000000000000}"/>
    <dataValidation allowBlank="1" showInputMessage="1" showErrorMessage="1" prompt="Enter time in this row  from columns B to I" sqref="B12" xr:uid="{00000000-0002-0000-0800-000001000000}"/>
    <dataValidation allowBlank="1" showInputMessage="1" showErrorMessage="1" prompt="If this row contains a number less than the previous number or row of numbers, then this row contains dates for the next calendar month" sqref="C8" xr:uid="{00000000-0002-0000-0800-000002000000}"/>
    <dataValidation allowBlank="1" showInputMessage="1" showErrorMessage="1" prompt="If this cell doesn’t contain the number 1, then it is a day from a previous month. Cells C3:I8 contain dates for the current month" sqref="C3" xr:uid="{00000000-0002-0000-0800-000003000000}"/>
    <dataValidation allowBlank="1" showInputMessage="1" showErrorMessage="1" prompt="Cells C2:I2 contain weekdays" sqref="C2" xr:uid="{00000000-0002-0000-0800-000004000000}"/>
    <dataValidation allowBlank="1" showInputMessage="1" showErrorMessage="1" prompt="Prepare a weekly schedule &amp; create an assignment list in this worksheet. Assignments are automatically highlighted in monthly calendar for the year entered in B1 on Jan worksheet" sqref="A1" xr:uid="{00000000-0002-0000-0800-000005000000}"/>
    <dataValidation allowBlank="1" showInputMessage="1" showErrorMessage="1" prompt="Automatically updated calendar year. To change the year, update cell B1 on Jan worksheet" sqref="B1" xr:uid="{00000000-0002-0000-0800-000006000000}"/>
    <dataValidation allowBlank="1" showInputMessage="1" showErrorMessage="1" prompt="September calendar automatically highlights assignment list entries for the month. Darker fonts are assignments. Lighter fonts are days that belong to the previous or next month" sqref="B2" xr:uid="{00000000-0002-0000-0800-000007000000}"/>
    <dataValidation allowBlank="1" showInputMessage="1" showErrorMessage="1" prompt="Weekdays are grouped in this column with 6 rows for assignments for each grouped weekday of the month. Insert new rows to add more assignments. Calendar at left will highlight items" sqref="J1" xr:uid="{00000000-0002-0000-0800-000008000000}"/>
    <dataValidation allowBlank="1" showInputMessage="1" showErrorMessage="1" prompt="Enter the assignment details in this column that correspond to the weekday in column J and day in column K for the calendar month at left" sqref="K1" xr:uid="{00000000-0002-0000-0800-000009000000}"/>
    <dataValidation allowBlank="1" showInputMessage="1" showErrorMessage="1" prompt="Weekdays are in this row, from Monday to Friday" sqref="B11" xr:uid="{00000000-0002-0000-0800-00000B000000}"/>
    <dataValidation allowBlank="1" showInputMessage="1" showErrorMessage="1" prompt="Enter the time of your class and under it, in a new row, the class name for each weekday in columns B to I. Repeat this pattern for all classes in subsequent rows" sqref="B10" xr:uid="{00000000-0002-0000-0800-00000C000000}"/>
  </dataValidations>
  <hyperlinks>
    <hyperlink ref="K9" r:id="rId1" xr:uid="{F2207149-2AB2-4110-93A0-1630A141889D}"/>
    <hyperlink ref="D4" r:id="rId2" display="https://tcfsps.wufoo.com/forms/z4jzmf810s7kiu/" xr:uid="{A4555DD3-6D1A-480F-86F5-707805FED6A0}"/>
    <hyperlink ref="F5" r:id="rId3" display="https://tcfsps.wufoo.com/forms/z116cou60ulwymb/" xr:uid="{DB810918-BACC-494F-B5B4-7EB345DF1EEB}"/>
    <hyperlink ref="K15" r:id="rId4" xr:uid="{DF191C11-F9B4-4D9D-BDE2-3669A6127829}"/>
  </hyperlinks>
  <printOptions horizontalCentered="1" verticalCentered="1"/>
  <pageMargins left="0.5" right="0.5" top="0.5" bottom="0.5" header="0.3" footer="0.3"/>
  <pageSetup scale="58" orientation="landscape" r:id="rId5"/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49</vt:i4>
      </vt:variant>
    </vt:vector>
  </HeadingPairs>
  <TitlesOfParts>
    <vt:vector size="61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ColumnTitle1</vt:lpstr>
      <vt:lpstr>ColumnTitle10</vt:lpstr>
      <vt:lpstr>ColumnTitle11</vt:lpstr>
      <vt:lpstr>ColumnTitle12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ColumnTitle9</vt:lpstr>
      <vt:lpstr>ColumnTitleRegion1..I8.1</vt:lpstr>
      <vt:lpstr>ColumnTitleRegion1..I8.10</vt:lpstr>
      <vt:lpstr>ColumnTitleRegion1..I8.11</vt:lpstr>
      <vt:lpstr>ColumnTitleRegion1..I8.12</vt:lpstr>
      <vt:lpstr>ColumnTitleRegion1..I8.2</vt:lpstr>
      <vt:lpstr>ColumnTitleRegion1..I8.3</vt:lpstr>
      <vt:lpstr>ColumnTitleRegion1..I8.4</vt:lpstr>
      <vt:lpstr>ColumnTitleRegion1..I8.5</vt:lpstr>
      <vt:lpstr>ColumnTitleRegion1..I8.6</vt:lpstr>
      <vt:lpstr>ColumnTitleRegion1..I8.7</vt:lpstr>
      <vt:lpstr>ColumnTitleRegion1..I8.8</vt:lpstr>
      <vt:lpstr>ColumnTitleRegion1..I8.9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TitleRegion2..I31.1</vt:lpstr>
      <vt:lpstr>TitleRegion2..I31.10</vt:lpstr>
      <vt:lpstr>TitleRegion2..I31.11</vt:lpstr>
      <vt:lpstr>TitleRegion2..I31.12</vt:lpstr>
      <vt:lpstr>TitleRegion2..I31.2</vt:lpstr>
      <vt:lpstr>TitleRegion2..I31.3</vt:lpstr>
      <vt:lpstr>TitleRegion2..I31.4</vt:lpstr>
      <vt:lpstr>TitleRegion2..I31.5</vt:lpstr>
      <vt:lpstr>TitleRegion2..I31.6</vt:lpstr>
      <vt:lpstr>TitleRegion2..I31.7</vt:lpstr>
      <vt:lpstr>TitleRegion2..I31.8</vt:lpstr>
      <vt:lpstr>TitleRegion2..I31.9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rosscup</dc:creator>
  <cp:lastModifiedBy>Melissa</cp:lastModifiedBy>
  <dcterms:created xsi:type="dcterms:W3CDTF">2016-12-22T23:12:27Z</dcterms:created>
  <dcterms:modified xsi:type="dcterms:W3CDTF">2020-07-24T18:01:11Z</dcterms:modified>
</cp:coreProperties>
</file>